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нные" sheetId="1" state="visible" r:id="rId1"/>
    <sheet xmlns:r="http://schemas.openxmlformats.org/officeDocument/2006/relationships" name="ОПиУ" sheetId="2" state="visible" r:id="rId2"/>
    <sheet xmlns:r="http://schemas.openxmlformats.org/officeDocument/2006/relationships" name="Баланс" sheetId="3" state="visible" r:id="rId3"/>
    <sheet xmlns:r="http://schemas.openxmlformats.org/officeDocument/2006/relationships" name="ДДС" sheetId="4" state="visible" r:id="rId4"/>
  </sheets>
  <definedNames>
    <definedName name="ВыручкаПлан">'Данные'!$D$11</definedName>
    <definedName name="ДоляПеременных">'Данные'!$D$12</definedName>
    <definedName name="ПостоянныеМесяц">'Данные'!$D$13</definedName>
    <definedName name="СтавкаНалога">'Данные'!$D$14</definedName>
    <definedName name="ОтсрочкаПокупателей">'Данные'!$D$18</definedName>
    <definedName name="ОтсрочкаПоставщиков">'Данные'!$D$19</definedName>
    <definedName name="ЗапасМесяцев">'Данные'!$D$20</definedName>
    <definedName name="КапвложенияГод">'Данные'!$D$25</definedName>
    <definedName name="МесяцКапвложений">'Данные'!$D$26</definedName>
    <definedName name="НормаАмортизации">'Данные'!$D$27</definedName>
    <definedName name="СтавкаКредита">'Данные'!$D$28</definedName>
    <definedName name="ПогашениеМесяц">'Данные'!$D$29</definedName>
    <definedName name="ДивидендыГод">'Данные'!$D$30</definedName>
    <definedName name="МесяцДивидендов">'Данные'!$D$31</definedName>
    <definedName name="ВнеоборотныеНач">'Данные'!$D$35</definedName>
    <definedName name="ЗапасыНач">'Данные'!$D$36</definedName>
    <definedName name="ДебиторкаНач">'Данные'!$D$37</definedName>
    <definedName name="ДеньгиНач">'Данные'!$D$38</definedName>
    <definedName name="АктивыНач">'Данные'!$D$39</definedName>
    <definedName name="КредиторкаНач">'Данные'!$D$40</definedName>
    <definedName name="ДолгНач">'Данные'!$D$41</definedName>
    <definedName name="КапиталНач">'Данные'!$D$42</definedName>
    <definedName name="КапвложенияИтого">'Данные'!$P$53</definedName>
    <definedName name="АмортизацияГод">'Данные'!$P$55</definedName>
    <definedName name="ВнеоборотныеКон">'Данные'!$P$56</definedName>
    <definedName name="ПогашениеГод">'Данные'!$P$59</definedName>
    <definedName name="ПроцентыГод">'Данные'!$P$60</definedName>
    <definedName name="ДолгКон">'Данные'!$P$61</definedName>
    <definedName name="ДивидендыИтого">'Данные'!$P$63</definedName>
    <definedName name="ВыручкаГод">'ОПиУ'!$P$8</definedName>
    <definedName name="ПеременныеГод">'ОПиУ'!$P$9</definedName>
    <definedName name="ВаловаяГод">'ОПиУ'!$P$10</definedName>
    <definedName name="ПостоянныеГод">'ОПиУ'!$P$11</definedName>
    <definedName name="EbitdaГод">'ОПиУ'!$P$12</definedName>
    <definedName name="АмортизацияОпиу">'ОПиУ'!$P$13</definedName>
    <definedName name="EbitГод">'ОПиУ'!$P$14</definedName>
    <definedName name="ПроцентыОпиу">'ОПиУ'!$P$15</definedName>
    <definedName name="ПрибыльДоНалогаГод">'ОПиУ'!$P$16</definedName>
    <definedName name="НалогГод">'ОПиУ'!$P$17</definedName>
    <definedName name="ЧистаяПрибыльГод">'ОПиУ'!$P$18</definedName>
    <definedName name="РентабельностьПродаж">'ОПиУ'!$D$20</definedName>
    <definedName name="ВнеоборотныеИтог">'Баланс'!$P$10</definedName>
    <definedName name="ЗапасыКон">'Баланс'!$P$11</definedName>
    <definedName name="ДебиторкаКон">'Баланс'!$P$12</definedName>
    <definedName name="ДеньгиКон">'Баланс'!$P$13</definedName>
    <definedName name="АктивыКон">'Баланс'!$P$14</definedName>
    <definedName name="КредиторкаКон">'Баланс'!$P$18</definedName>
    <definedName name="ДолгИтог">'Баланс'!$P$19</definedName>
    <definedName name="КапиталКон">'Баланс'!$P$21</definedName>
    <definedName name="ПассивыКон">'Баланс'!$P$22</definedName>
    <definedName name="Расхождение">'Баланс'!$P$24</definedName>
    <definedName name="ЗакупкиГод">'Баланс'!$P$28</definedName>
    <definedName name="ОперационныйПоток">'ДДС'!$P$17</definedName>
    <definedName name="ИнвестиционныйПоток">'ДДС'!$P$21</definedName>
    <definedName name="ФинансовыйПоток">'ДДС'!$P$24</definedName>
    <definedName name="ЧистыйПоток">'ДДС'!$P$26</definedName>
    <definedName name="ДеньгиИтог">'ДДС'!$P$27</definedName>
    <definedName name="МинимальныйОстаток">'ДДС'!$D$29</definedName>
    <definedName name="РазрывПрибыльДеньги">'ДДС'!$D$30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4" fontId="8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3" fontId="7" fillId="0" borderId="0" applyAlignment="1" pivotButton="0" quotePrefix="0" xfId="0">
      <alignment horizontal="right" vertical="center"/>
    </xf>
    <xf numFmtId="0" fontId="9" fillId="0" borderId="4" applyAlignment="1" pivotButton="0" quotePrefix="0" xfId="0">
      <alignment horizontal="left" vertical="center"/>
    </xf>
    <xf numFmtId="0" fontId="9" fillId="0" borderId="4" applyAlignment="1" pivotButton="0" quotePrefix="0" xfId="0">
      <alignment horizontal="center" vertical="center"/>
    </xf>
    <xf numFmtId="3" fontId="10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P6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4" customWidth="1" min="2" max="2"/>
    <col width="3" customWidth="1" min="3" max="3"/>
    <col width="16" customWidth="1" min="4" max="4"/>
    <col width="12" customWidth="1" min="5" max="5"/>
    <col width="4" customWidth="1" min="6" max="6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Финансовый план компании</t>
        </is>
      </c>
    </row>
    <row r="4" ht="15" customHeight="1">
      <c r="B4" s="3" t="inlineStr">
        <is>
          <t>Отчёт о прибыли, баланс и движение денег из одного набора допущений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Продажи и затраты</t>
        </is>
      </c>
    </row>
    <row r="10" ht="3" customHeight="1">
      <c r="B10" s="8" t="n"/>
      <c r="C10" s="8" t="n"/>
      <c r="D10" s="8" t="n"/>
      <c r="E10" s="8" t="n"/>
      <c r="F10" s="8" t="n"/>
      <c r="G10" s="8" t="n"/>
    </row>
    <row r="11">
      <c r="B11" s="9" t="inlineStr">
        <is>
          <t>Плановая выручка за год</t>
        </is>
      </c>
      <c r="C11" s="10" t="inlineStr">
        <is>
          <t>₽</t>
        </is>
      </c>
      <c r="D11" s="11" t="n">
        <v>96000000</v>
      </c>
    </row>
    <row r="12">
      <c r="B12" s="9" t="inlineStr">
        <is>
          <t>Доля переменных затрат в выручке</t>
        </is>
      </c>
      <c r="C12" s="10" t="inlineStr">
        <is>
          <t>%</t>
        </is>
      </c>
      <c r="D12" s="12" t="n">
        <v>0.58</v>
      </c>
    </row>
    <row r="13">
      <c r="B13" s="9" t="inlineStr">
        <is>
          <t>Постоянные затраты в месяц (без амортизации)</t>
        </is>
      </c>
      <c r="C13" s="10" t="inlineStr">
        <is>
          <t>₽</t>
        </is>
      </c>
      <c r="D13" s="11" t="n">
        <v>1750000</v>
      </c>
    </row>
    <row r="14">
      <c r="B14" s="9" t="inlineStr">
        <is>
          <t>Ставка налога на прибыль</t>
        </is>
      </c>
      <c r="C14" s="10" t="inlineStr">
        <is>
          <t>%</t>
        </is>
      </c>
      <c r="D14" s="12" t="n">
        <v>0.25</v>
      </c>
    </row>
    <row r="16" ht="20" customHeight="1">
      <c r="B16" s="7" t="inlineStr">
        <is>
          <t>Оборотный капитал</t>
        </is>
      </c>
    </row>
    <row r="17" ht="3" customHeight="1">
      <c r="B17" s="8" t="n"/>
      <c r="C17" s="8" t="n"/>
      <c r="D17" s="8" t="n"/>
      <c r="E17" s="8" t="n"/>
      <c r="F17" s="8" t="n"/>
      <c r="G17" s="8" t="n"/>
    </row>
    <row r="18">
      <c r="B18" s="9" t="inlineStr">
        <is>
          <t>Отсрочка покупателей, месяцев</t>
        </is>
      </c>
      <c r="C18" s="10" t="inlineStr">
        <is>
          <t>мес.</t>
        </is>
      </c>
      <c r="D18" s="11" t="n">
        <v>1</v>
      </c>
    </row>
    <row r="19">
      <c r="B19" s="9" t="inlineStr">
        <is>
          <t>Отсрочка поставщиков, месяцев</t>
        </is>
      </c>
      <c r="C19" s="10" t="inlineStr">
        <is>
          <t>мес.</t>
        </is>
      </c>
      <c r="D19" s="11" t="n">
        <v>1</v>
      </c>
    </row>
    <row r="20">
      <c r="B20" s="9" t="inlineStr">
        <is>
          <t>Запас на складе, месяцев себестоимости</t>
        </is>
      </c>
      <c r="C20" s="10" t="inlineStr">
        <is>
          <t>мес.</t>
        </is>
      </c>
      <c r="D20" s="13" t="n">
        <v>0.8</v>
      </c>
    </row>
    <row r="21" ht="26" customHeight="1">
      <c r="B21" s="14" t="inlineStr">
        <is>
          <t>Это три крана, через которые утекают деньги прибыльной компании. Отсрочка покупателей превращает выручку в дебиторку, запас связывает деньги на складе, и только отсрочка поставщиков работает в вашу пользу.</t>
        </is>
      </c>
    </row>
    <row r="23" ht="20" customHeight="1">
      <c r="B23" s="7" t="inlineStr">
        <is>
          <t>Основные средства, долг и дивиденды</t>
        </is>
      </c>
    </row>
    <row r="24" ht="3" customHeight="1">
      <c r="B24" s="8" t="n"/>
      <c r="C24" s="8" t="n"/>
      <c r="D24" s="8" t="n"/>
      <c r="E24" s="8" t="n"/>
      <c r="F24" s="8" t="n"/>
      <c r="G24" s="8" t="n"/>
    </row>
    <row r="25">
      <c r="B25" s="9" t="inlineStr">
        <is>
          <t>Капитальные вложения за год</t>
        </is>
      </c>
      <c r="C25" s="10" t="inlineStr">
        <is>
          <t>₽</t>
        </is>
      </c>
      <c r="D25" s="11" t="n">
        <v>6000000</v>
      </c>
    </row>
    <row r="26">
      <c r="B26" s="9" t="inlineStr">
        <is>
          <t>Месяц капитальных вложений (1–12)</t>
        </is>
      </c>
      <c r="C26" s="10" t="inlineStr">
        <is>
          <t>№</t>
        </is>
      </c>
      <c r="D26" s="11" t="n">
        <v>4</v>
      </c>
    </row>
    <row r="27">
      <c r="B27" s="9" t="inlineStr">
        <is>
          <t>Норма амортизации в год</t>
        </is>
      </c>
      <c r="C27" s="10" t="inlineStr">
        <is>
          <t>%</t>
        </is>
      </c>
      <c r="D27" s="12" t="n">
        <v>0.1</v>
      </c>
    </row>
    <row r="28">
      <c r="B28" s="9" t="inlineStr">
        <is>
          <t>Ставка по кредиту</t>
        </is>
      </c>
      <c r="C28" s="10" t="inlineStr">
        <is>
          <t>%</t>
        </is>
      </c>
      <c r="D28" s="12" t="n">
        <v>0.22</v>
      </c>
    </row>
    <row r="29">
      <c r="B29" s="9" t="inlineStr">
        <is>
          <t>Погашение основного долга в месяц</t>
        </is>
      </c>
      <c r="C29" s="10" t="inlineStr">
        <is>
          <t>₽</t>
        </is>
      </c>
      <c r="D29" s="11" t="n">
        <v>400000</v>
      </c>
    </row>
    <row r="30">
      <c r="B30" s="9" t="inlineStr">
        <is>
          <t>Дивиденды за год</t>
        </is>
      </c>
      <c r="C30" s="10" t="inlineStr">
        <is>
          <t>₽</t>
        </is>
      </c>
      <c r="D30" s="11" t="n">
        <v>3000000</v>
      </c>
    </row>
    <row r="31">
      <c r="B31" s="9" t="inlineStr">
        <is>
          <t>Месяц выплаты дивидендов (1–12)</t>
        </is>
      </c>
      <c r="C31" s="10" t="inlineStr">
        <is>
          <t>№</t>
        </is>
      </c>
      <c r="D31" s="11" t="n">
        <v>6</v>
      </c>
    </row>
    <row r="33" ht="20" customHeight="1">
      <c r="B33" s="7" t="inlineStr">
        <is>
          <t>Баланс на начало года</t>
        </is>
      </c>
    </row>
    <row r="34" ht="3" customHeight="1">
      <c r="B34" s="8" t="n"/>
      <c r="C34" s="8" t="n"/>
      <c r="D34" s="8" t="n"/>
      <c r="E34" s="8" t="n"/>
      <c r="F34" s="8" t="n"/>
      <c r="G34" s="8" t="n"/>
    </row>
    <row r="35">
      <c r="B35" s="9" t="inlineStr">
        <is>
          <t>Внеоборотные активы</t>
        </is>
      </c>
      <c r="C35" s="10" t="inlineStr">
        <is>
          <t>₽</t>
        </is>
      </c>
      <c r="D35" s="11" t="n">
        <v>28000000</v>
      </c>
    </row>
    <row r="36">
      <c r="B36" s="9" t="inlineStr">
        <is>
          <t>Запасы</t>
        </is>
      </c>
      <c r="C36" s="10" t="inlineStr">
        <is>
          <t>₽</t>
        </is>
      </c>
      <c r="D36" s="11" t="n">
        <v>4500000</v>
      </c>
    </row>
    <row r="37">
      <c r="B37" s="9" t="inlineStr">
        <is>
          <t>Дебиторская задолженность</t>
        </is>
      </c>
      <c r="C37" s="10" t="inlineStr">
        <is>
          <t>₽</t>
        </is>
      </c>
      <c r="D37" s="11" t="n">
        <v>7000000</v>
      </c>
    </row>
    <row r="38">
      <c r="B38" s="9" t="inlineStr">
        <is>
          <t>Денежные средства</t>
        </is>
      </c>
      <c r="C38" s="10" t="inlineStr">
        <is>
          <t>₽</t>
        </is>
      </c>
      <c r="D38" s="11" t="n">
        <v>3500000</v>
      </c>
    </row>
    <row r="39">
      <c r="B39" s="9" t="inlineStr">
        <is>
          <t>Активы на начало</t>
        </is>
      </c>
      <c r="D39" s="15">
        <f>ВнеоборотныеНач+ЗапасыНач+ДебиторкаНач+ДеньгиНач</f>
        <v/>
      </c>
    </row>
    <row r="40">
      <c r="B40" s="9" t="inlineStr">
        <is>
          <t>Кредиторская задолженность</t>
        </is>
      </c>
      <c r="C40" s="10" t="inlineStr">
        <is>
          <t>₽</t>
        </is>
      </c>
      <c r="D40" s="11" t="n">
        <v>5200000</v>
      </c>
    </row>
    <row r="41">
      <c r="B41" s="9" t="inlineStr">
        <is>
          <t>Кредиты и займы</t>
        </is>
      </c>
      <c r="C41" s="10" t="inlineStr">
        <is>
          <t>₽</t>
        </is>
      </c>
      <c r="D41" s="11" t="n">
        <v>12000000</v>
      </c>
    </row>
    <row r="42">
      <c r="B42" s="9" t="inlineStr">
        <is>
          <t>Собственный капитал</t>
        </is>
      </c>
      <c r="D42" s="15">
        <f>АктивыНач-КредиторкаНач-ДолгНач</f>
        <v/>
      </c>
    </row>
    <row r="43" ht="26" customHeight="1">
      <c r="B43" s="14" t="inlineStr">
        <is>
          <t>Собственный капитал не вводится, а выводится: активы за вычетом обязательств. Поэтому начальный баланс сходится всегда, а значит расхождение в плане может появиться только из ошибки в формуле.</t>
        </is>
      </c>
    </row>
    <row r="45" ht="20" customHeight="1">
      <c r="B45" s="7" t="inlineStr">
        <is>
          <t>Сезонность продаж</t>
        </is>
      </c>
    </row>
    <row r="46" ht="3" customHeight="1">
      <c r="B46" s="8" t="n"/>
      <c r="C46" s="8" t="n"/>
      <c r="D46" s="8" t="n"/>
      <c r="E46" s="8" t="n"/>
      <c r="F46" s="8" t="n"/>
      <c r="G46" s="8" t="n"/>
    </row>
    <row r="47">
      <c r="D47" s="3" t="inlineStr">
        <is>
          <t>Янв</t>
        </is>
      </c>
      <c r="E47" s="3" t="inlineStr">
        <is>
          <t>Фев</t>
        </is>
      </c>
      <c r="F47" s="3" t="inlineStr">
        <is>
          <t>Мар</t>
        </is>
      </c>
      <c r="G47" s="3" t="inlineStr">
        <is>
          <t>Апр</t>
        </is>
      </c>
      <c r="H47" s="3" t="inlineStr">
        <is>
          <t>Май</t>
        </is>
      </c>
      <c r="I47" s="3" t="inlineStr">
        <is>
          <t>Июн</t>
        </is>
      </c>
      <c r="J47" s="3" t="inlineStr">
        <is>
          <t>Июл</t>
        </is>
      </c>
      <c r="K47" s="3" t="inlineStr">
        <is>
          <t>Авг</t>
        </is>
      </c>
      <c r="L47" s="3" t="inlineStr">
        <is>
          <t>Сен</t>
        </is>
      </c>
      <c r="M47" s="3" t="inlineStr">
        <is>
          <t>Окт</t>
        </is>
      </c>
      <c r="N47" s="3" t="inlineStr">
        <is>
          <t>Ноя</t>
        </is>
      </c>
      <c r="O47" s="3" t="inlineStr">
        <is>
          <t>Дек</t>
        </is>
      </c>
    </row>
    <row r="48">
      <c r="B48" s="9" t="inlineStr">
        <is>
          <t>Коэффициент месяца</t>
        </is>
      </c>
      <c r="D48" s="13" t="n">
        <v>0.8</v>
      </c>
      <c r="E48" s="13" t="n">
        <v>0.85</v>
      </c>
      <c r="F48" s="13" t="n">
        <v>0.95</v>
      </c>
      <c r="G48" s="13" t="n">
        <v>1</v>
      </c>
      <c r="H48" s="13" t="n">
        <v>1.05</v>
      </c>
      <c r="I48" s="13" t="n">
        <v>1</v>
      </c>
      <c r="J48" s="13" t="n">
        <v>0.85</v>
      </c>
      <c r="K48" s="13" t="n">
        <v>0.9</v>
      </c>
      <c r="L48" s="13" t="n">
        <v>1.1</v>
      </c>
      <c r="M48" s="13" t="n">
        <v>1.15</v>
      </c>
      <c r="N48" s="13" t="n">
        <v>1.2</v>
      </c>
      <c r="O48" s="13" t="n">
        <v>1.15</v>
      </c>
    </row>
    <row r="50" ht="20" customHeight="1">
      <c r="B50" s="7" t="inlineStr">
        <is>
          <t>График основных средств и кредита</t>
        </is>
      </c>
    </row>
    <row r="51" ht="3" customHeight="1">
      <c r="B51" s="8" t="n"/>
      <c r="C51" s="8" t="n"/>
      <c r="D51" s="8" t="n"/>
      <c r="E51" s="8" t="n"/>
      <c r="F51" s="8" t="n"/>
      <c r="G51" s="8" t="n"/>
    </row>
    <row r="52" ht="18" customHeight="1">
      <c r="B52" s="16" t="inlineStr">
        <is>
          <t>Показатель, ₽</t>
        </is>
      </c>
      <c r="C52" s="17" t="inlineStr"/>
      <c r="D52" s="17" t="inlineStr">
        <is>
          <t>Янв</t>
        </is>
      </c>
      <c r="E52" s="17" t="inlineStr">
        <is>
          <t>Фев</t>
        </is>
      </c>
      <c r="F52" s="17" t="inlineStr">
        <is>
          <t>Мар</t>
        </is>
      </c>
      <c r="G52" s="17" t="inlineStr">
        <is>
          <t>Апр</t>
        </is>
      </c>
      <c r="H52" s="17" t="inlineStr">
        <is>
          <t>Май</t>
        </is>
      </c>
      <c r="I52" s="17" t="inlineStr">
        <is>
          <t>Июн</t>
        </is>
      </c>
      <c r="J52" s="17" t="inlineStr">
        <is>
          <t>Июл</t>
        </is>
      </c>
      <c r="K52" s="17" t="inlineStr">
        <is>
          <t>Авг</t>
        </is>
      </c>
      <c r="L52" s="17" t="inlineStr">
        <is>
          <t>Сен</t>
        </is>
      </c>
      <c r="M52" s="17" t="inlineStr">
        <is>
          <t>Окт</t>
        </is>
      </c>
      <c r="N52" s="17" t="inlineStr">
        <is>
          <t>Ноя</t>
        </is>
      </c>
      <c r="O52" s="17" t="inlineStr">
        <is>
          <t>Дек</t>
        </is>
      </c>
      <c r="P52" s="17" t="inlineStr">
        <is>
          <t>Год</t>
        </is>
      </c>
    </row>
    <row r="53">
      <c r="B53" s="9" t="inlineStr">
        <is>
          <t>Капитальные вложения</t>
        </is>
      </c>
      <c r="D53" s="15">
        <f>IF(1=МесяцКапвложений,КапвложенияГод,0)</f>
        <v/>
      </c>
      <c r="E53" s="15">
        <f>IF(2=МесяцКапвложений,КапвложенияГод,0)</f>
        <v/>
      </c>
      <c r="F53" s="15">
        <f>IF(3=МесяцКапвложений,КапвложенияГод,0)</f>
        <v/>
      </c>
      <c r="G53" s="15">
        <f>IF(4=МесяцКапвложений,КапвложенияГод,0)</f>
        <v/>
      </c>
      <c r="H53" s="15">
        <f>IF(5=МесяцКапвложений,КапвложенияГод,0)</f>
        <v/>
      </c>
      <c r="I53" s="15">
        <f>IF(6=МесяцКапвложений,КапвложенияГод,0)</f>
        <v/>
      </c>
      <c r="J53" s="15">
        <f>IF(7=МесяцКапвложений,КапвложенияГод,0)</f>
        <v/>
      </c>
      <c r="K53" s="15">
        <f>IF(8=МесяцКапвложений,КапвложенияГод,0)</f>
        <v/>
      </c>
      <c r="L53" s="15">
        <f>IF(9=МесяцКапвложений,КапвложенияГод,0)</f>
        <v/>
      </c>
      <c r="M53" s="15">
        <f>IF(10=МесяцКапвложений,КапвложенияГод,0)</f>
        <v/>
      </c>
      <c r="N53" s="15">
        <f>IF(11=МесяцКапвложений,КапвложенияГод,0)</f>
        <v/>
      </c>
      <c r="O53" s="15">
        <f>IF(12=МесяцКапвложений,КапвложенияГод,0)</f>
        <v/>
      </c>
      <c r="P53" s="18">
        <f>SUM(D53:O53)</f>
        <v/>
      </c>
    </row>
    <row r="54">
      <c r="B54" s="3" t="inlineStr">
        <is>
          <t>Основные средства на начало</t>
        </is>
      </c>
      <c r="D54" s="15">
        <f>ВнеоборотныеНач</f>
        <v/>
      </c>
      <c r="E54" s="15">
        <f>D56</f>
        <v/>
      </c>
      <c r="F54" s="15">
        <f>E56</f>
        <v/>
      </c>
      <c r="G54" s="15">
        <f>F56</f>
        <v/>
      </c>
      <c r="H54" s="15">
        <f>G56</f>
        <v/>
      </c>
      <c r="I54" s="15">
        <f>H56</f>
        <v/>
      </c>
      <c r="J54" s="15">
        <f>I56</f>
        <v/>
      </c>
      <c r="K54" s="15">
        <f>J56</f>
        <v/>
      </c>
      <c r="L54" s="15">
        <f>K56</f>
        <v/>
      </c>
      <c r="M54" s="15">
        <f>L56</f>
        <v/>
      </c>
      <c r="N54" s="15">
        <f>M56</f>
        <v/>
      </c>
      <c r="O54" s="15">
        <f>N56</f>
        <v/>
      </c>
    </row>
    <row r="55">
      <c r="B55" s="9" t="inlineStr">
        <is>
          <t>Амортизация</t>
        </is>
      </c>
      <c r="D55" s="15">
        <f>MIN((D54+D53)*НормаАмортизации/12,D54+D53)</f>
        <v/>
      </c>
      <c r="E55" s="15">
        <f>MIN((E54+E53)*НормаАмортизации/12,E54+E53)</f>
        <v/>
      </c>
      <c r="F55" s="15">
        <f>MIN((F54+F53)*НормаАмортизации/12,F54+F53)</f>
        <v/>
      </c>
      <c r="G55" s="15">
        <f>MIN((G54+G53)*НормаАмортизации/12,G54+G53)</f>
        <v/>
      </c>
      <c r="H55" s="15">
        <f>MIN((H54+H53)*НормаАмортизации/12,H54+H53)</f>
        <v/>
      </c>
      <c r="I55" s="15">
        <f>MIN((I54+I53)*НормаАмортизации/12,I54+I53)</f>
        <v/>
      </c>
      <c r="J55" s="15">
        <f>MIN((J54+J53)*НормаАмортизации/12,J54+J53)</f>
        <v/>
      </c>
      <c r="K55" s="15">
        <f>MIN((K54+K53)*НормаАмортизации/12,K54+K53)</f>
        <v/>
      </c>
      <c r="L55" s="15">
        <f>MIN((L54+L53)*НормаАмортизации/12,L54+L53)</f>
        <v/>
      </c>
      <c r="M55" s="15">
        <f>MIN((M54+M53)*НормаАмортизации/12,M54+M53)</f>
        <v/>
      </c>
      <c r="N55" s="15">
        <f>MIN((N54+N53)*НормаАмортизации/12,N54+N53)</f>
        <v/>
      </c>
      <c r="O55" s="15">
        <f>MIN((O54+O53)*НормаАмортизации/12,O54+O53)</f>
        <v/>
      </c>
      <c r="P55" s="18">
        <f>SUM(D55:O55)</f>
        <v/>
      </c>
    </row>
    <row r="56">
      <c r="B56" s="9" t="inlineStr">
        <is>
          <t>Основные средства на конец</t>
        </is>
      </c>
      <c r="D56" s="15">
        <f>D54+D53-D55</f>
        <v/>
      </c>
      <c r="E56" s="15">
        <f>E54+E53-E55</f>
        <v/>
      </c>
      <c r="F56" s="15">
        <f>F54+F53-F55</f>
        <v/>
      </c>
      <c r="G56" s="15">
        <f>G54+G53-G55</f>
        <v/>
      </c>
      <c r="H56" s="15">
        <f>H54+H53-H55</f>
        <v/>
      </c>
      <c r="I56" s="15">
        <f>I54+I53-I55</f>
        <v/>
      </c>
      <c r="J56" s="15">
        <f>J54+J53-J55</f>
        <v/>
      </c>
      <c r="K56" s="15">
        <f>K54+K53-K55</f>
        <v/>
      </c>
      <c r="L56" s="15">
        <f>L54+L53-L55</f>
        <v/>
      </c>
      <c r="M56" s="15">
        <f>M54+M53-M55</f>
        <v/>
      </c>
      <c r="N56" s="15">
        <f>N54+N53-N55</f>
        <v/>
      </c>
      <c r="O56" s="15">
        <f>O54+O53-O55</f>
        <v/>
      </c>
      <c r="P56" s="18">
        <f>O56</f>
        <v/>
      </c>
    </row>
    <row r="58">
      <c r="B58" s="3" t="inlineStr">
        <is>
          <t>Долг на начало месяца</t>
        </is>
      </c>
      <c r="D58" s="15">
        <f>ДолгНач</f>
        <v/>
      </c>
      <c r="E58" s="15">
        <f>D61</f>
        <v/>
      </c>
      <c r="F58" s="15">
        <f>E61</f>
        <v/>
      </c>
      <c r="G58" s="15">
        <f>F61</f>
        <v/>
      </c>
      <c r="H58" s="15">
        <f>G61</f>
        <v/>
      </c>
      <c r="I58" s="15">
        <f>H61</f>
        <v/>
      </c>
      <c r="J58" s="15">
        <f>I61</f>
        <v/>
      </c>
      <c r="K58" s="15">
        <f>J61</f>
        <v/>
      </c>
      <c r="L58" s="15">
        <f>K61</f>
        <v/>
      </c>
      <c r="M58" s="15">
        <f>L61</f>
        <v/>
      </c>
      <c r="N58" s="15">
        <f>M61</f>
        <v/>
      </c>
      <c r="O58" s="15">
        <f>N61</f>
        <v/>
      </c>
    </row>
    <row r="59">
      <c r="B59" s="9" t="inlineStr">
        <is>
          <t>Погашение основного долга</t>
        </is>
      </c>
      <c r="D59" s="15">
        <f>MIN(ПогашениеМесяц,D58)</f>
        <v/>
      </c>
      <c r="E59" s="15">
        <f>MIN(ПогашениеМесяц,E58)</f>
        <v/>
      </c>
      <c r="F59" s="15">
        <f>MIN(ПогашениеМесяц,F58)</f>
        <v/>
      </c>
      <c r="G59" s="15">
        <f>MIN(ПогашениеМесяц,G58)</f>
        <v/>
      </c>
      <c r="H59" s="15">
        <f>MIN(ПогашениеМесяц,H58)</f>
        <v/>
      </c>
      <c r="I59" s="15">
        <f>MIN(ПогашениеМесяц,I58)</f>
        <v/>
      </c>
      <c r="J59" s="15">
        <f>MIN(ПогашениеМесяц,J58)</f>
        <v/>
      </c>
      <c r="K59" s="15">
        <f>MIN(ПогашениеМесяц,K58)</f>
        <v/>
      </c>
      <c r="L59" s="15">
        <f>MIN(ПогашениеМесяц,L58)</f>
        <v/>
      </c>
      <c r="M59" s="15">
        <f>MIN(ПогашениеМесяц,M58)</f>
        <v/>
      </c>
      <c r="N59" s="15">
        <f>MIN(ПогашениеМесяц,N58)</f>
        <v/>
      </c>
      <c r="O59" s="15">
        <f>MIN(ПогашениеМесяц,O58)</f>
        <v/>
      </c>
      <c r="P59" s="18">
        <f>SUM(D59:O59)</f>
        <v/>
      </c>
    </row>
    <row r="60">
      <c r="B60" s="9" t="inlineStr">
        <is>
          <t>Проценты по кредиту</t>
        </is>
      </c>
      <c r="D60" s="15">
        <f>D58*СтавкаКредита/12</f>
        <v/>
      </c>
      <c r="E60" s="15">
        <f>E58*СтавкаКредита/12</f>
        <v/>
      </c>
      <c r="F60" s="15">
        <f>F58*СтавкаКредита/12</f>
        <v/>
      </c>
      <c r="G60" s="15">
        <f>G58*СтавкаКредита/12</f>
        <v/>
      </c>
      <c r="H60" s="15">
        <f>H58*СтавкаКредита/12</f>
        <v/>
      </c>
      <c r="I60" s="15">
        <f>I58*СтавкаКредита/12</f>
        <v/>
      </c>
      <c r="J60" s="15">
        <f>J58*СтавкаКредита/12</f>
        <v/>
      </c>
      <c r="K60" s="15">
        <f>K58*СтавкаКредита/12</f>
        <v/>
      </c>
      <c r="L60" s="15">
        <f>L58*СтавкаКредита/12</f>
        <v/>
      </c>
      <c r="M60" s="15">
        <f>M58*СтавкаКредита/12</f>
        <v/>
      </c>
      <c r="N60" s="15">
        <f>N58*СтавкаКредита/12</f>
        <v/>
      </c>
      <c r="O60" s="15">
        <f>O58*СтавкаКредита/12</f>
        <v/>
      </c>
      <c r="P60" s="18">
        <f>SUM(D60:O60)</f>
        <v/>
      </c>
    </row>
    <row r="61">
      <c r="B61" s="9" t="inlineStr">
        <is>
          <t>Долг на конец месяца</t>
        </is>
      </c>
      <c r="D61" s="15">
        <f>D58-D59</f>
        <v/>
      </c>
      <c r="E61" s="15">
        <f>E58-E59</f>
        <v/>
      </c>
      <c r="F61" s="15">
        <f>F58-F59</f>
        <v/>
      </c>
      <c r="G61" s="15">
        <f>G58-G59</f>
        <v/>
      </c>
      <c r="H61" s="15">
        <f>H58-H59</f>
        <v/>
      </c>
      <c r="I61" s="15">
        <f>I58-I59</f>
        <v/>
      </c>
      <c r="J61" s="15">
        <f>J58-J59</f>
        <v/>
      </c>
      <c r="K61" s="15">
        <f>K58-K59</f>
        <v/>
      </c>
      <c r="L61" s="15">
        <f>L58-L59</f>
        <v/>
      </c>
      <c r="M61" s="15">
        <f>M58-M59</f>
        <v/>
      </c>
      <c r="N61" s="15">
        <f>N58-N59</f>
        <v/>
      </c>
      <c r="O61" s="15">
        <f>O58-O59</f>
        <v/>
      </c>
      <c r="P61" s="18">
        <f>O61</f>
        <v/>
      </c>
    </row>
    <row r="63">
      <c r="B63" s="9" t="inlineStr">
        <is>
          <t>Дивиденды</t>
        </is>
      </c>
      <c r="D63" s="15">
        <f>IF(1=МесяцДивидендов,ДивидендыГод,0)</f>
        <v/>
      </c>
      <c r="E63" s="15">
        <f>IF(2=МесяцДивидендов,ДивидендыГод,0)</f>
        <v/>
      </c>
      <c r="F63" s="15">
        <f>IF(3=МесяцДивидендов,ДивидендыГод,0)</f>
        <v/>
      </c>
      <c r="G63" s="15">
        <f>IF(4=МесяцДивидендов,ДивидендыГод,0)</f>
        <v/>
      </c>
      <c r="H63" s="15">
        <f>IF(5=МесяцДивидендов,ДивидендыГод,0)</f>
        <v/>
      </c>
      <c r="I63" s="15">
        <f>IF(6=МесяцДивидендов,ДивидендыГод,0)</f>
        <v/>
      </c>
      <c r="J63" s="15">
        <f>IF(7=МесяцДивидендов,ДивидендыГод,0)</f>
        <v/>
      </c>
      <c r="K63" s="15">
        <f>IF(8=МесяцДивидендов,ДивидендыГод,0)</f>
        <v/>
      </c>
      <c r="L63" s="15">
        <f>IF(9=МесяцДивидендов,ДивидендыГод,0)</f>
        <v/>
      </c>
      <c r="M63" s="15">
        <f>IF(10=МесяцДивидендов,ДивидендыГод,0)</f>
        <v/>
      </c>
      <c r="N63" s="15">
        <f>IF(11=МесяцДивидендов,ДивидендыГод,0)</f>
        <v/>
      </c>
      <c r="O63" s="15">
        <f>IF(12=МесяцДивидендов,ДивидендыГод,0)</f>
        <v/>
      </c>
      <c r="P63" s="18">
        <f>SUM(D63:O63)</f>
        <v/>
      </c>
    </row>
    <row r="65">
      <c r="B65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21:G21"/>
    <mergeCell ref="B43:G43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P24"/>
  <sheetViews>
    <sheetView showGridLines="0" zoomScale="100" workbookViewId="0">
      <pane xSplit="3" ySplit="7" topLeftCell="D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3" customWidth="1" min="16" max="16"/>
    <col width="4" customWidth="1" min="17" max="1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Отчёт о прибылях и убытках</t>
        </is>
      </c>
    </row>
    <row r="4" ht="15" customHeight="1">
      <c r="B4" s="3" t="inlineStr">
        <is>
          <t>Что компания зарабатывает по начислению — помесячно и за год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18" customHeight="1">
      <c r="B7" s="16" t="inlineStr">
        <is>
          <t>Статья, ₽</t>
        </is>
      </c>
      <c r="C7" s="17" t="inlineStr"/>
      <c r="D7" s="17" t="inlineStr">
        <is>
          <t>Янв</t>
        </is>
      </c>
      <c r="E7" s="17" t="inlineStr">
        <is>
          <t>Фев</t>
        </is>
      </c>
      <c r="F7" s="17" t="inlineStr">
        <is>
          <t>Мар</t>
        </is>
      </c>
      <c r="G7" s="17" t="inlineStr">
        <is>
          <t>Апр</t>
        </is>
      </c>
      <c r="H7" s="17" t="inlineStr">
        <is>
          <t>Май</t>
        </is>
      </c>
      <c r="I7" s="17" t="inlineStr">
        <is>
          <t>Июн</t>
        </is>
      </c>
      <c r="J7" s="17" t="inlineStr">
        <is>
          <t>Июл</t>
        </is>
      </c>
      <c r="K7" s="17" t="inlineStr">
        <is>
          <t>Авг</t>
        </is>
      </c>
      <c r="L7" s="17" t="inlineStr">
        <is>
          <t>Сен</t>
        </is>
      </c>
      <c r="M7" s="17" t="inlineStr">
        <is>
          <t>Окт</t>
        </is>
      </c>
      <c r="N7" s="17" t="inlineStr">
        <is>
          <t>Ноя</t>
        </is>
      </c>
      <c r="O7" s="17" t="inlineStr">
        <is>
          <t>Дек</t>
        </is>
      </c>
      <c r="P7" s="17" t="inlineStr">
        <is>
          <t>Год</t>
        </is>
      </c>
    </row>
    <row r="8">
      <c r="B8" s="9" t="inlineStr">
        <is>
          <t>Выручка</t>
        </is>
      </c>
      <c r="D8" s="15">
        <f>ВыручкаПлан*Данные!D48/SUM(Данные!$D$48:$O$48)</f>
        <v/>
      </c>
      <c r="E8" s="15">
        <f>ВыручкаПлан*Данные!E48/SUM(Данные!$D$48:$O$48)</f>
        <v/>
      </c>
      <c r="F8" s="15">
        <f>ВыручкаПлан*Данные!F48/SUM(Данные!$D$48:$O$48)</f>
        <v/>
      </c>
      <c r="G8" s="15">
        <f>ВыручкаПлан*Данные!G48/SUM(Данные!$D$48:$O$48)</f>
        <v/>
      </c>
      <c r="H8" s="15">
        <f>ВыручкаПлан*Данные!H48/SUM(Данные!$D$48:$O$48)</f>
        <v/>
      </c>
      <c r="I8" s="15">
        <f>ВыручкаПлан*Данные!I48/SUM(Данные!$D$48:$O$48)</f>
        <v/>
      </c>
      <c r="J8" s="15">
        <f>ВыручкаПлан*Данные!J48/SUM(Данные!$D$48:$O$48)</f>
        <v/>
      </c>
      <c r="K8" s="15">
        <f>ВыручкаПлан*Данные!K48/SUM(Данные!$D$48:$O$48)</f>
        <v/>
      </c>
      <c r="L8" s="15">
        <f>ВыручкаПлан*Данные!L48/SUM(Данные!$D$48:$O$48)</f>
        <v/>
      </c>
      <c r="M8" s="15">
        <f>ВыручкаПлан*Данные!M48/SUM(Данные!$D$48:$O$48)</f>
        <v/>
      </c>
      <c r="N8" s="15">
        <f>ВыручкаПлан*Данные!N48/SUM(Данные!$D$48:$O$48)</f>
        <v/>
      </c>
      <c r="O8" s="15">
        <f>ВыручкаПлан*Данные!O48/SUM(Данные!$D$48:$O$48)</f>
        <v/>
      </c>
      <c r="P8" s="18">
        <f>SUM(D8:O8)</f>
        <v/>
      </c>
    </row>
    <row r="9">
      <c r="B9" s="9" t="inlineStr">
        <is>
          <t>Переменные затраты</t>
        </is>
      </c>
      <c r="D9" s="15">
        <f>D8*ДоляПеременных</f>
        <v/>
      </c>
      <c r="E9" s="15">
        <f>E8*ДоляПеременных</f>
        <v/>
      </c>
      <c r="F9" s="15">
        <f>F8*ДоляПеременных</f>
        <v/>
      </c>
      <c r="G9" s="15">
        <f>G8*ДоляПеременных</f>
        <v/>
      </c>
      <c r="H9" s="15">
        <f>H8*ДоляПеременных</f>
        <v/>
      </c>
      <c r="I9" s="15">
        <f>I8*ДоляПеременных</f>
        <v/>
      </c>
      <c r="J9" s="15">
        <f>J8*ДоляПеременных</f>
        <v/>
      </c>
      <c r="K9" s="15">
        <f>K8*ДоляПеременных</f>
        <v/>
      </c>
      <c r="L9" s="15">
        <f>L8*ДоляПеременных</f>
        <v/>
      </c>
      <c r="M9" s="15">
        <f>M8*ДоляПеременных</f>
        <v/>
      </c>
      <c r="N9" s="15">
        <f>N8*ДоляПеременных</f>
        <v/>
      </c>
      <c r="O9" s="15">
        <f>O8*ДоляПеременных</f>
        <v/>
      </c>
      <c r="P9" s="18">
        <f>SUM(D9:O9)</f>
        <v/>
      </c>
    </row>
    <row r="10">
      <c r="B10" s="9" t="inlineStr">
        <is>
          <t>Валовая прибыль</t>
        </is>
      </c>
      <c r="D10" s="18">
        <f>D8-D9</f>
        <v/>
      </c>
      <c r="E10" s="18">
        <f>E8-E9</f>
        <v/>
      </c>
      <c r="F10" s="18">
        <f>F8-F9</f>
        <v/>
      </c>
      <c r="G10" s="18">
        <f>G8-G9</f>
        <v/>
      </c>
      <c r="H10" s="18">
        <f>H8-H9</f>
        <v/>
      </c>
      <c r="I10" s="18">
        <f>I8-I9</f>
        <v/>
      </c>
      <c r="J10" s="18">
        <f>J8-J9</f>
        <v/>
      </c>
      <c r="K10" s="18">
        <f>K8-K9</f>
        <v/>
      </c>
      <c r="L10" s="18">
        <f>L8-L9</f>
        <v/>
      </c>
      <c r="M10" s="18">
        <f>M8-M9</f>
        <v/>
      </c>
      <c r="N10" s="18">
        <f>N8-N9</f>
        <v/>
      </c>
      <c r="O10" s="18">
        <f>O8-O9</f>
        <v/>
      </c>
      <c r="P10" s="18">
        <f>SUM(D10:O10)</f>
        <v/>
      </c>
    </row>
    <row r="11">
      <c r="B11" s="9" t="inlineStr">
        <is>
          <t>Постоянные затраты</t>
        </is>
      </c>
      <c r="D11" s="15">
        <f>ПостоянныеМесяц</f>
        <v/>
      </c>
      <c r="E11" s="15">
        <f>ПостоянныеМесяц</f>
        <v/>
      </c>
      <c r="F11" s="15">
        <f>ПостоянныеМесяц</f>
        <v/>
      </c>
      <c r="G11" s="15">
        <f>ПостоянныеМесяц</f>
        <v/>
      </c>
      <c r="H11" s="15">
        <f>ПостоянныеМесяц</f>
        <v/>
      </c>
      <c r="I11" s="15">
        <f>ПостоянныеМесяц</f>
        <v/>
      </c>
      <c r="J11" s="15">
        <f>ПостоянныеМесяц</f>
        <v/>
      </c>
      <c r="K11" s="15">
        <f>ПостоянныеМесяц</f>
        <v/>
      </c>
      <c r="L11" s="15">
        <f>ПостоянныеМесяц</f>
        <v/>
      </c>
      <c r="M11" s="15">
        <f>ПостоянныеМесяц</f>
        <v/>
      </c>
      <c r="N11" s="15">
        <f>ПостоянныеМесяц</f>
        <v/>
      </c>
      <c r="O11" s="15">
        <f>ПостоянныеМесяц</f>
        <v/>
      </c>
      <c r="P11" s="18">
        <f>SUM(D11:O11)</f>
        <v/>
      </c>
    </row>
    <row r="12">
      <c r="B12" s="9" t="inlineStr">
        <is>
          <t>EBITDA</t>
        </is>
      </c>
      <c r="D12" s="18">
        <f>D10-D11</f>
        <v/>
      </c>
      <c r="E12" s="18">
        <f>E10-E11</f>
        <v/>
      </c>
      <c r="F12" s="18">
        <f>F10-F11</f>
        <v/>
      </c>
      <c r="G12" s="18">
        <f>G10-G11</f>
        <v/>
      </c>
      <c r="H12" s="18">
        <f>H10-H11</f>
        <v/>
      </c>
      <c r="I12" s="18">
        <f>I10-I11</f>
        <v/>
      </c>
      <c r="J12" s="18">
        <f>J10-J11</f>
        <v/>
      </c>
      <c r="K12" s="18">
        <f>K10-K11</f>
        <v/>
      </c>
      <c r="L12" s="18">
        <f>L10-L11</f>
        <v/>
      </c>
      <c r="M12" s="18">
        <f>M10-M11</f>
        <v/>
      </c>
      <c r="N12" s="18">
        <f>N10-N11</f>
        <v/>
      </c>
      <c r="O12" s="18">
        <f>O10-O11</f>
        <v/>
      </c>
      <c r="P12" s="18">
        <f>SUM(D12:O12)</f>
        <v/>
      </c>
    </row>
    <row r="13">
      <c r="B13" s="9" t="inlineStr">
        <is>
          <t>Амортизация</t>
        </is>
      </c>
      <c r="D13" s="15">
        <f>Данные!D55</f>
        <v/>
      </c>
      <c r="E13" s="15">
        <f>Данные!E55</f>
        <v/>
      </c>
      <c r="F13" s="15">
        <f>Данные!F55</f>
        <v/>
      </c>
      <c r="G13" s="15">
        <f>Данные!G55</f>
        <v/>
      </c>
      <c r="H13" s="15">
        <f>Данные!H55</f>
        <v/>
      </c>
      <c r="I13" s="15">
        <f>Данные!I55</f>
        <v/>
      </c>
      <c r="J13" s="15">
        <f>Данные!J55</f>
        <v/>
      </c>
      <c r="K13" s="15">
        <f>Данные!K55</f>
        <v/>
      </c>
      <c r="L13" s="15">
        <f>Данные!L55</f>
        <v/>
      </c>
      <c r="M13" s="15">
        <f>Данные!M55</f>
        <v/>
      </c>
      <c r="N13" s="15">
        <f>Данные!N55</f>
        <v/>
      </c>
      <c r="O13" s="15">
        <f>Данные!O55</f>
        <v/>
      </c>
      <c r="P13" s="18">
        <f>SUM(D13:O13)</f>
        <v/>
      </c>
    </row>
    <row r="14">
      <c r="B14" s="9" t="inlineStr">
        <is>
          <t>Прибыль от продаж</t>
        </is>
      </c>
      <c r="D14" s="18">
        <f>D12-D13</f>
        <v/>
      </c>
      <c r="E14" s="18">
        <f>E12-E13</f>
        <v/>
      </c>
      <c r="F14" s="18">
        <f>F12-F13</f>
        <v/>
      </c>
      <c r="G14" s="18">
        <f>G12-G13</f>
        <v/>
      </c>
      <c r="H14" s="18">
        <f>H12-H13</f>
        <v/>
      </c>
      <c r="I14" s="18">
        <f>I12-I13</f>
        <v/>
      </c>
      <c r="J14" s="18">
        <f>J12-J13</f>
        <v/>
      </c>
      <c r="K14" s="18">
        <f>K12-K13</f>
        <v/>
      </c>
      <c r="L14" s="18">
        <f>L12-L13</f>
        <v/>
      </c>
      <c r="M14" s="18">
        <f>M12-M13</f>
        <v/>
      </c>
      <c r="N14" s="18">
        <f>N12-N13</f>
        <v/>
      </c>
      <c r="O14" s="18">
        <f>O12-O13</f>
        <v/>
      </c>
      <c r="P14" s="18">
        <f>SUM(D14:O14)</f>
        <v/>
      </c>
    </row>
    <row r="15">
      <c r="B15" s="9" t="inlineStr">
        <is>
          <t>Проценты по кредиту</t>
        </is>
      </c>
      <c r="D15" s="15">
        <f>Данные!D60</f>
        <v/>
      </c>
      <c r="E15" s="15">
        <f>Данные!E60</f>
        <v/>
      </c>
      <c r="F15" s="15">
        <f>Данные!F60</f>
        <v/>
      </c>
      <c r="G15" s="15">
        <f>Данные!G60</f>
        <v/>
      </c>
      <c r="H15" s="15">
        <f>Данные!H60</f>
        <v/>
      </c>
      <c r="I15" s="15">
        <f>Данные!I60</f>
        <v/>
      </c>
      <c r="J15" s="15">
        <f>Данные!J60</f>
        <v/>
      </c>
      <c r="K15" s="15">
        <f>Данные!K60</f>
        <v/>
      </c>
      <c r="L15" s="15">
        <f>Данные!L60</f>
        <v/>
      </c>
      <c r="M15" s="15">
        <f>Данные!M60</f>
        <v/>
      </c>
      <c r="N15" s="15">
        <f>Данные!N60</f>
        <v/>
      </c>
      <c r="O15" s="15">
        <f>Данные!O60</f>
        <v/>
      </c>
      <c r="P15" s="18">
        <f>SUM(D15:O15)</f>
        <v/>
      </c>
    </row>
    <row r="16">
      <c r="B16" s="9" t="inlineStr">
        <is>
          <t>Прибыль до налога</t>
        </is>
      </c>
      <c r="D16" s="15">
        <f>D14-D15</f>
        <v/>
      </c>
      <c r="E16" s="15">
        <f>E14-E15</f>
        <v/>
      </c>
      <c r="F16" s="15">
        <f>F14-F15</f>
        <v/>
      </c>
      <c r="G16" s="15">
        <f>G14-G15</f>
        <v/>
      </c>
      <c r="H16" s="15">
        <f>H14-H15</f>
        <v/>
      </c>
      <c r="I16" s="15">
        <f>I14-I15</f>
        <v/>
      </c>
      <c r="J16" s="15">
        <f>J14-J15</f>
        <v/>
      </c>
      <c r="K16" s="15">
        <f>K14-K15</f>
        <v/>
      </c>
      <c r="L16" s="15">
        <f>L14-L15</f>
        <v/>
      </c>
      <c r="M16" s="15">
        <f>M14-M15</f>
        <v/>
      </c>
      <c r="N16" s="15">
        <f>N14-N15</f>
        <v/>
      </c>
      <c r="O16" s="15">
        <f>O14-O15</f>
        <v/>
      </c>
      <c r="P16" s="18">
        <f>SUM(D16:O16)</f>
        <v/>
      </c>
    </row>
    <row r="17">
      <c r="B17" s="9" t="inlineStr">
        <is>
          <t>Налог на прибыль</t>
        </is>
      </c>
      <c r="D17" s="15">
        <f>MAX(0,D16)*СтавкаНалога</f>
        <v/>
      </c>
      <c r="E17" s="15">
        <f>MAX(0,E16)*СтавкаНалога</f>
        <v/>
      </c>
      <c r="F17" s="15">
        <f>MAX(0,F16)*СтавкаНалога</f>
        <v/>
      </c>
      <c r="G17" s="15">
        <f>MAX(0,G16)*СтавкаНалога</f>
        <v/>
      </c>
      <c r="H17" s="15">
        <f>MAX(0,H16)*СтавкаНалога</f>
        <v/>
      </c>
      <c r="I17" s="15">
        <f>MAX(0,I16)*СтавкаНалога</f>
        <v/>
      </c>
      <c r="J17" s="15">
        <f>MAX(0,J16)*СтавкаНалога</f>
        <v/>
      </c>
      <c r="K17" s="15">
        <f>MAX(0,K16)*СтавкаНалога</f>
        <v/>
      </c>
      <c r="L17" s="15">
        <f>MAX(0,L16)*СтавкаНалога</f>
        <v/>
      </c>
      <c r="M17" s="15">
        <f>MAX(0,M16)*СтавкаНалога</f>
        <v/>
      </c>
      <c r="N17" s="15">
        <f>MAX(0,N16)*СтавкаНалога</f>
        <v/>
      </c>
      <c r="O17" s="15">
        <f>MAX(0,O16)*СтавкаНалога</f>
        <v/>
      </c>
      <c r="P17" s="18">
        <f>SUM(D17:O17)</f>
        <v/>
      </c>
    </row>
    <row r="18">
      <c r="B18" s="9" t="inlineStr">
        <is>
          <t>Чистая прибыль</t>
        </is>
      </c>
      <c r="D18" s="18">
        <f>D16-D17</f>
        <v/>
      </c>
      <c r="E18" s="18">
        <f>E16-E17</f>
        <v/>
      </c>
      <c r="F18" s="18">
        <f>F16-F17</f>
        <v/>
      </c>
      <c r="G18" s="18">
        <f>G16-G17</f>
        <v/>
      </c>
      <c r="H18" s="18">
        <f>H16-H17</f>
        <v/>
      </c>
      <c r="I18" s="18">
        <f>I16-I17</f>
        <v/>
      </c>
      <c r="J18" s="18">
        <f>J16-J17</f>
        <v/>
      </c>
      <c r="K18" s="18">
        <f>K16-K17</f>
        <v/>
      </c>
      <c r="L18" s="18">
        <f>L16-L17</f>
        <v/>
      </c>
      <c r="M18" s="18">
        <f>M16-M17</f>
        <v/>
      </c>
      <c r="N18" s="18">
        <f>N16-N17</f>
        <v/>
      </c>
      <c r="O18" s="18">
        <f>O16-O17</f>
        <v/>
      </c>
      <c r="P18" s="18">
        <f>SUM(D18:O18)</f>
        <v/>
      </c>
    </row>
    <row r="20">
      <c r="B20" s="9" t="inlineStr">
        <is>
          <t>Рентабельность продаж по чистой прибыли</t>
        </is>
      </c>
      <c r="D20" s="19">
        <f>ЧистаяПрибыльГод/ВыручкаГод</f>
        <v/>
      </c>
    </row>
    <row r="22" ht="26" customHeight="1">
      <c r="B22" s="14" t="inlineStr">
        <is>
          <t>Чистая прибыль отсюда — единственный вход в баланс и в отчёт о движении денег. Ни одна величина не вводится дважды, поэтому формы не могут разойтись между собой.</t>
        </is>
      </c>
    </row>
    <row r="24">
      <c r="B2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22:P22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P32"/>
  <sheetViews>
    <sheetView showGridLines="0" zoomScale="100" workbookViewId="0">
      <pane xSplit="3" ySplit="9" topLeftCell="D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3" customWidth="1" min="16" max="16"/>
    <col width="4" customWidth="1" min="17" max="1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Плановый баланс</t>
        </is>
      </c>
    </row>
    <row r="4" ht="15" customHeight="1">
      <c r="B4" s="3" t="inlineStr">
        <is>
          <t>Чем компания владеет и на чьи деньги — на конец каждого месяца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18" customHeight="1">
      <c r="B7" s="16" t="inlineStr">
        <is>
          <t>Статья, ₽</t>
        </is>
      </c>
      <c r="C7" s="17" t="inlineStr"/>
      <c r="D7" s="17" t="inlineStr">
        <is>
          <t>Янв</t>
        </is>
      </c>
      <c r="E7" s="17" t="inlineStr">
        <is>
          <t>Фев</t>
        </is>
      </c>
      <c r="F7" s="17" t="inlineStr">
        <is>
          <t>Мар</t>
        </is>
      </c>
      <c r="G7" s="17" t="inlineStr">
        <is>
          <t>Апр</t>
        </is>
      </c>
      <c r="H7" s="17" t="inlineStr">
        <is>
          <t>Май</t>
        </is>
      </c>
      <c r="I7" s="17" t="inlineStr">
        <is>
          <t>Июн</t>
        </is>
      </c>
      <c r="J7" s="17" t="inlineStr">
        <is>
          <t>Июл</t>
        </is>
      </c>
      <c r="K7" s="17" t="inlineStr">
        <is>
          <t>Авг</t>
        </is>
      </c>
      <c r="L7" s="17" t="inlineStr">
        <is>
          <t>Сен</t>
        </is>
      </c>
      <c r="M7" s="17" t="inlineStr">
        <is>
          <t>Окт</t>
        </is>
      </c>
      <c r="N7" s="17" t="inlineStr">
        <is>
          <t>Ноя</t>
        </is>
      </c>
      <c r="O7" s="17" t="inlineStr">
        <is>
          <t>Дек</t>
        </is>
      </c>
      <c r="P7" s="17" t="inlineStr">
        <is>
          <t>Год</t>
        </is>
      </c>
    </row>
    <row r="8" ht="20" customHeight="1">
      <c r="B8" s="7" t="inlineStr">
        <is>
          <t>Активы</t>
        </is>
      </c>
    </row>
    <row r="9" ht="3" customHeight="1"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</row>
    <row r="10">
      <c r="B10" s="9" t="inlineStr">
        <is>
          <t>Внеоборотные активы</t>
        </is>
      </c>
      <c r="D10" s="15">
        <f>Данные!D56</f>
        <v/>
      </c>
      <c r="E10" s="15">
        <f>Данные!E56</f>
        <v/>
      </c>
      <c r="F10" s="15">
        <f>Данные!F56</f>
        <v/>
      </c>
      <c r="G10" s="15">
        <f>Данные!G56</f>
        <v/>
      </c>
      <c r="H10" s="15">
        <f>Данные!H56</f>
        <v/>
      </c>
      <c r="I10" s="15">
        <f>Данные!I56</f>
        <v/>
      </c>
      <c r="J10" s="15">
        <f>Данные!J56</f>
        <v/>
      </c>
      <c r="K10" s="15">
        <f>Данные!K56</f>
        <v/>
      </c>
      <c r="L10" s="15">
        <f>Данные!L56</f>
        <v/>
      </c>
      <c r="M10" s="15">
        <f>Данные!M56</f>
        <v/>
      </c>
      <c r="N10" s="15">
        <f>Данные!N56</f>
        <v/>
      </c>
      <c r="O10" s="15">
        <f>Данные!O56</f>
        <v/>
      </c>
      <c r="P10" s="18">
        <f>O10</f>
        <v/>
      </c>
    </row>
    <row r="11">
      <c r="B11" s="9" t="inlineStr">
        <is>
          <t>Запасы</t>
        </is>
      </c>
      <c r="D11" s="15">
        <f>ОПиУ!D9*ЗапасМесяцев</f>
        <v/>
      </c>
      <c r="E11" s="15">
        <f>ОПиУ!E9*ЗапасМесяцев</f>
        <v/>
      </c>
      <c r="F11" s="15">
        <f>ОПиУ!F9*ЗапасМесяцев</f>
        <v/>
      </c>
      <c r="G11" s="15">
        <f>ОПиУ!G9*ЗапасМесяцев</f>
        <v/>
      </c>
      <c r="H11" s="15">
        <f>ОПиУ!H9*ЗапасМесяцев</f>
        <v/>
      </c>
      <c r="I11" s="15">
        <f>ОПиУ!I9*ЗапасМесяцев</f>
        <v/>
      </c>
      <c r="J11" s="15">
        <f>ОПиУ!J9*ЗапасМесяцев</f>
        <v/>
      </c>
      <c r="K11" s="15">
        <f>ОПиУ!K9*ЗапасМесяцев</f>
        <v/>
      </c>
      <c r="L11" s="15">
        <f>ОПиУ!L9*ЗапасМесяцев</f>
        <v/>
      </c>
      <c r="M11" s="15">
        <f>ОПиУ!M9*ЗапасМесяцев</f>
        <v/>
      </c>
      <c r="N11" s="15">
        <f>ОПиУ!N9*ЗапасМесяцев</f>
        <v/>
      </c>
      <c r="O11" s="15">
        <f>ОПиУ!O9*ЗапасМесяцев</f>
        <v/>
      </c>
      <c r="P11" s="18">
        <f>O11</f>
        <v/>
      </c>
    </row>
    <row r="12">
      <c r="B12" s="9" t="inlineStr">
        <is>
          <t>Дебиторская задолженность</t>
        </is>
      </c>
      <c r="D12" s="15">
        <f>IF(ОтсрочкаПокупателей&lt;=0,0,SUM(INDEX(ОПиУ!$D$8:$O$8,MAX(1,1-ОтсрочкаПокупателей+1)):INDEX(ОПиУ!$D$8:$O$8,1)))</f>
        <v/>
      </c>
      <c r="E12" s="15">
        <f>IF(ОтсрочкаПокупателей&lt;=0,0,SUM(INDEX(ОПиУ!$D$8:$O$8,MAX(1,2-ОтсрочкаПокупателей+1)):INDEX(ОПиУ!$D$8:$O$8,2)))</f>
        <v/>
      </c>
      <c r="F12" s="15">
        <f>IF(ОтсрочкаПокупателей&lt;=0,0,SUM(INDEX(ОПиУ!$D$8:$O$8,MAX(1,3-ОтсрочкаПокупателей+1)):INDEX(ОПиУ!$D$8:$O$8,3)))</f>
        <v/>
      </c>
      <c r="G12" s="15">
        <f>IF(ОтсрочкаПокупателей&lt;=0,0,SUM(INDEX(ОПиУ!$D$8:$O$8,MAX(1,4-ОтсрочкаПокупателей+1)):INDEX(ОПиУ!$D$8:$O$8,4)))</f>
        <v/>
      </c>
      <c r="H12" s="15">
        <f>IF(ОтсрочкаПокупателей&lt;=0,0,SUM(INDEX(ОПиУ!$D$8:$O$8,MAX(1,5-ОтсрочкаПокупателей+1)):INDEX(ОПиУ!$D$8:$O$8,5)))</f>
        <v/>
      </c>
      <c r="I12" s="15">
        <f>IF(ОтсрочкаПокупателей&lt;=0,0,SUM(INDEX(ОПиУ!$D$8:$O$8,MAX(1,6-ОтсрочкаПокупателей+1)):INDEX(ОПиУ!$D$8:$O$8,6)))</f>
        <v/>
      </c>
      <c r="J12" s="15">
        <f>IF(ОтсрочкаПокупателей&lt;=0,0,SUM(INDEX(ОПиУ!$D$8:$O$8,MAX(1,7-ОтсрочкаПокупателей+1)):INDEX(ОПиУ!$D$8:$O$8,7)))</f>
        <v/>
      </c>
      <c r="K12" s="15">
        <f>IF(ОтсрочкаПокупателей&lt;=0,0,SUM(INDEX(ОПиУ!$D$8:$O$8,MAX(1,8-ОтсрочкаПокупателей+1)):INDEX(ОПиУ!$D$8:$O$8,8)))</f>
        <v/>
      </c>
      <c r="L12" s="15">
        <f>IF(ОтсрочкаПокупателей&lt;=0,0,SUM(INDEX(ОПиУ!$D$8:$O$8,MAX(1,9-ОтсрочкаПокупателей+1)):INDEX(ОПиУ!$D$8:$O$8,9)))</f>
        <v/>
      </c>
      <c r="M12" s="15">
        <f>IF(ОтсрочкаПокупателей&lt;=0,0,SUM(INDEX(ОПиУ!$D$8:$O$8,MAX(1,10-ОтсрочкаПокупателей+1)):INDEX(ОПиУ!$D$8:$O$8,10)))</f>
        <v/>
      </c>
      <c r="N12" s="15">
        <f>IF(ОтсрочкаПокупателей&lt;=0,0,SUM(INDEX(ОПиУ!$D$8:$O$8,MAX(1,11-ОтсрочкаПокупателей+1)):INDEX(ОПиУ!$D$8:$O$8,11)))</f>
        <v/>
      </c>
      <c r="O12" s="15">
        <f>IF(ОтсрочкаПокупателей&lt;=0,0,SUM(INDEX(ОПиУ!$D$8:$O$8,MAX(1,12-ОтсрочкаПокупателей+1)):INDEX(ОПиУ!$D$8:$O$8,12)))</f>
        <v/>
      </c>
      <c r="P12" s="18">
        <f>O12</f>
        <v/>
      </c>
    </row>
    <row r="13">
      <c r="B13" s="9" t="inlineStr">
        <is>
          <t>Денежные средства</t>
        </is>
      </c>
      <c r="D13" s="15">
        <f>ДДС!D27</f>
        <v/>
      </c>
      <c r="E13" s="15">
        <f>ДДС!E27</f>
        <v/>
      </c>
      <c r="F13" s="15">
        <f>ДДС!F27</f>
        <v/>
      </c>
      <c r="G13" s="15">
        <f>ДДС!G27</f>
        <v/>
      </c>
      <c r="H13" s="15">
        <f>ДДС!H27</f>
        <v/>
      </c>
      <c r="I13" s="15">
        <f>ДДС!I27</f>
        <v/>
      </c>
      <c r="J13" s="15">
        <f>ДДС!J27</f>
        <v/>
      </c>
      <c r="K13" s="15">
        <f>ДДС!K27</f>
        <v/>
      </c>
      <c r="L13" s="15">
        <f>ДДС!L27</f>
        <v/>
      </c>
      <c r="M13" s="15">
        <f>ДДС!M27</f>
        <v/>
      </c>
      <c r="N13" s="15">
        <f>ДДС!N27</f>
        <v/>
      </c>
      <c r="O13" s="15">
        <f>ДДС!O27</f>
        <v/>
      </c>
      <c r="P13" s="18">
        <f>O13</f>
        <v/>
      </c>
    </row>
    <row r="14">
      <c r="B14" s="9" t="inlineStr">
        <is>
          <t>Итого активы</t>
        </is>
      </c>
      <c r="D14" s="18">
        <f>D10+D11+D12+D13</f>
        <v/>
      </c>
      <c r="E14" s="18">
        <f>E10+E11+E12+E13</f>
        <v/>
      </c>
      <c r="F14" s="18">
        <f>F10+F11+F12+F13</f>
        <v/>
      </c>
      <c r="G14" s="18">
        <f>G10+G11+G12+G13</f>
        <v/>
      </c>
      <c r="H14" s="18">
        <f>H10+H11+H12+H13</f>
        <v/>
      </c>
      <c r="I14" s="18">
        <f>I10+I11+I12+I13</f>
        <v/>
      </c>
      <c r="J14" s="18">
        <f>J10+J11+J12+J13</f>
        <v/>
      </c>
      <c r="K14" s="18">
        <f>K10+K11+K12+K13</f>
        <v/>
      </c>
      <c r="L14" s="18">
        <f>L10+L11+L12+L13</f>
        <v/>
      </c>
      <c r="M14" s="18">
        <f>M10+M11+M12+M13</f>
        <v/>
      </c>
      <c r="N14" s="18">
        <f>N10+N11+N12+N13</f>
        <v/>
      </c>
      <c r="O14" s="18">
        <f>O10+O11+O12+O13</f>
        <v/>
      </c>
      <c r="P14" s="18">
        <f>O14</f>
        <v/>
      </c>
    </row>
    <row r="16" ht="20" customHeight="1">
      <c r="B16" s="7" t="inlineStr">
        <is>
          <t>Обязательства и капитал</t>
        </is>
      </c>
    </row>
    <row r="17" ht="3" customHeight="1"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 t="n"/>
    </row>
    <row r="18">
      <c r="B18" s="9" t="inlineStr">
        <is>
          <t>Кредиторская задолженность</t>
        </is>
      </c>
      <c r="D18" s="15">
        <f>IF(ОтсрочкаПоставщиков&lt;=0,0,SUM(INDEX(Баланс!$D$28:$O$28,MAX(1,1-ОтсрочкаПоставщиков+1)):INDEX(Баланс!$D$28:$O$28,1)))</f>
        <v/>
      </c>
      <c r="E18" s="15">
        <f>IF(ОтсрочкаПоставщиков&lt;=0,0,SUM(INDEX(Баланс!$D$28:$O$28,MAX(1,2-ОтсрочкаПоставщиков+1)):INDEX(Баланс!$D$28:$O$28,2)))</f>
        <v/>
      </c>
      <c r="F18" s="15">
        <f>IF(ОтсрочкаПоставщиков&lt;=0,0,SUM(INDEX(Баланс!$D$28:$O$28,MAX(1,3-ОтсрочкаПоставщиков+1)):INDEX(Баланс!$D$28:$O$28,3)))</f>
        <v/>
      </c>
      <c r="G18" s="15">
        <f>IF(ОтсрочкаПоставщиков&lt;=0,0,SUM(INDEX(Баланс!$D$28:$O$28,MAX(1,4-ОтсрочкаПоставщиков+1)):INDEX(Баланс!$D$28:$O$28,4)))</f>
        <v/>
      </c>
      <c r="H18" s="15">
        <f>IF(ОтсрочкаПоставщиков&lt;=0,0,SUM(INDEX(Баланс!$D$28:$O$28,MAX(1,5-ОтсрочкаПоставщиков+1)):INDEX(Баланс!$D$28:$O$28,5)))</f>
        <v/>
      </c>
      <c r="I18" s="15">
        <f>IF(ОтсрочкаПоставщиков&lt;=0,0,SUM(INDEX(Баланс!$D$28:$O$28,MAX(1,6-ОтсрочкаПоставщиков+1)):INDEX(Баланс!$D$28:$O$28,6)))</f>
        <v/>
      </c>
      <c r="J18" s="15">
        <f>IF(ОтсрочкаПоставщиков&lt;=0,0,SUM(INDEX(Баланс!$D$28:$O$28,MAX(1,7-ОтсрочкаПоставщиков+1)):INDEX(Баланс!$D$28:$O$28,7)))</f>
        <v/>
      </c>
      <c r="K18" s="15">
        <f>IF(ОтсрочкаПоставщиков&lt;=0,0,SUM(INDEX(Баланс!$D$28:$O$28,MAX(1,8-ОтсрочкаПоставщиков+1)):INDEX(Баланс!$D$28:$O$28,8)))</f>
        <v/>
      </c>
      <c r="L18" s="15">
        <f>IF(ОтсрочкаПоставщиков&lt;=0,0,SUM(INDEX(Баланс!$D$28:$O$28,MAX(1,9-ОтсрочкаПоставщиков+1)):INDEX(Баланс!$D$28:$O$28,9)))</f>
        <v/>
      </c>
      <c r="M18" s="15">
        <f>IF(ОтсрочкаПоставщиков&lt;=0,0,SUM(INDEX(Баланс!$D$28:$O$28,MAX(1,10-ОтсрочкаПоставщиков+1)):INDEX(Баланс!$D$28:$O$28,10)))</f>
        <v/>
      </c>
      <c r="N18" s="15">
        <f>IF(ОтсрочкаПоставщиков&lt;=0,0,SUM(INDEX(Баланс!$D$28:$O$28,MAX(1,11-ОтсрочкаПоставщиков+1)):INDEX(Баланс!$D$28:$O$28,11)))</f>
        <v/>
      </c>
      <c r="O18" s="15">
        <f>IF(ОтсрочкаПоставщиков&lt;=0,0,SUM(INDEX(Баланс!$D$28:$O$28,MAX(1,12-ОтсрочкаПоставщиков+1)):INDEX(Баланс!$D$28:$O$28,12)))</f>
        <v/>
      </c>
      <c r="P18" s="18">
        <f>O18</f>
        <v/>
      </c>
    </row>
    <row r="19">
      <c r="B19" s="9" t="inlineStr">
        <is>
          <t>Кредиты и займы</t>
        </is>
      </c>
      <c r="D19" s="15">
        <f>Данные!D61</f>
        <v/>
      </c>
      <c r="E19" s="15">
        <f>Данные!E61</f>
        <v/>
      </c>
      <c r="F19" s="15">
        <f>Данные!F61</f>
        <v/>
      </c>
      <c r="G19" s="15">
        <f>Данные!G61</f>
        <v/>
      </c>
      <c r="H19" s="15">
        <f>Данные!H61</f>
        <v/>
      </c>
      <c r="I19" s="15">
        <f>Данные!I61</f>
        <v/>
      </c>
      <c r="J19" s="15">
        <f>Данные!J61</f>
        <v/>
      </c>
      <c r="K19" s="15">
        <f>Данные!K61</f>
        <v/>
      </c>
      <c r="L19" s="15">
        <f>Данные!L61</f>
        <v/>
      </c>
      <c r="M19" s="15">
        <f>Данные!M61</f>
        <v/>
      </c>
      <c r="N19" s="15">
        <f>Данные!N61</f>
        <v/>
      </c>
      <c r="O19" s="15">
        <f>Данные!O61</f>
        <v/>
      </c>
      <c r="P19" s="18">
        <f>O19</f>
        <v/>
      </c>
    </row>
    <row r="20">
      <c r="B20" s="3" t="inlineStr">
        <is>
          <t>Капитал на начало месяца</t>
        </is>
      </c>
      <c r="D20" s="15">
        <f>КапиталНач</f>
        <v/>
      </c>
      <c r="E20" s="15">
        <f>D21</f>
        <v/>
      </c>
      <c r="F20" s="15">
        <f>E21</f>
        <v/>
      </c>
      <c r="G20" s="15">
        <f>F21</f>
        <v/>
      </c>
      <c r="H20" s="15">
        <f>G21</f>
        <v/>
      </c>
      <c r="I20" s="15">
        <f>H21</f>
        <v/>
      </c>
      <c r="J20" s="15">
        <f>I21</f>
        <v/>
      </c>
      <c r="K20" s="15">
        <f>J21</f>
        <v/>
      </c>
      <c r="L20" s="15">
        <f>K21</f>
        <v/>
      </c>
      <c r="M20" s="15">
        <f>L21</f>
        <v/>
      </c>
      <c r="N20" s="15">
        <f>M21</f>
        <v/>
      </c>
      <c r="O20" s="15">
        <f>N21</f>
        <v/>
      </c>
    </row>
    <row r="21">
      <c r="B21" s="9" t="inlineStr">
        <is>
          <t>Собственный капитал</t>
        </is>
      </c>
      <c r="D21" s="15">
        <f>D20+ОПиУ!D18-Данные!D63</f>
        <v/>
      </c>
      <c r="E21" s="15">
        <f>E20+ОПиУ!E18-Данные!E63</f>
        <v/>
      </c>
      <c r="F21" s="15">
        <f>F20+ОПиУ!F18-Данные!F63</f>
        <v/>
      </c>
      <c r="G21" s="15">
        <f>G20+ОПиУ!G18-Данные!G63</f>
        <v/>
      </c>
      <c r="H21" s="15">
        <f>H20+ОПиУ!H18-Данные!H63</f>
        <v/>
      </c>
      <c r="I21" s="15">
        <f>I20+ОПиУ!I18-Данные!I63</f>
        <v/>
      </c>
      <c r="J21" s="15">
        <f>J20+ОПиУ!J18-Данные!J63</f>
        <v/>
      </c>
      <c r="K21" s="15">
        <f>K20+ОПиУ!K18-Данные!K63</f>
        <v/>
      </c>
      <c r="L21" s="15">
        <f>L20+ОПиУ!L18-Данные!L63</f>
        <v/>
      </c>
      <c r="M21" s="15">
        <f>M20+ОПиУ!M18-Данные!M63</f>
        <v/>
      </c>
      <c r="N21" s="15">
        <f>N20+ОПиУ!N18-Данные!N63</f>
        <v/>
      </c>
      <c r="O21" s="15">
        <f>O20+ОПиУ!O18-Данные!O63</f>
        <v/>
      </c>
      <c r="P21" s="18">
        <f>O21</f>
        <v/>
      </c>
    </row>
    <row r="22">
      <c r="B22" s="9" t="inlineStr">
        <is>
          <t>Итого пассивы</t>
        </is>
      </c>
      <c r="D22" s="18">
        <f>D18+D19+D21</f>
        <v/>
      </c>
      <c r="E22" s="18">
        <f>E18+E19+E21</f>
        <v/>
      </c>
      <c r="F22" s="18">
        <f>F18+F19+F21</f>
        <v/>
      </c>
      <c r="G22" s="18">
        <f>G18+G19+G21</f>
        <v/>
      </c>
      <c r="H22" s="18">
        <f>H18+H19+H21</f>
        <v/>
      </c>
      <c r="I22" s="18">
        <f>I18+I19+I21</f>
        <v/>
      </c>
      <c r="J22" s="18">
        <f>J18+J19+J21</f>
        <v/>
      </c>
      <c r="K22" s="18">
        <f>K18+K19+K21</f>
        <v/>
      </c>
      <c r="L22" s="18">
        <f>L18+L19+L21</f>
        <v/>
      </c>
      <c r="M22" s="18">
        <f>M18+M19+M21</f>
        <v/>
      </c>
      <c r="N22" s="18">
        <f>N18+N19+N21</f>
        <v/>
      </c>
      <c r="O22" s="18">
        <f>O18+O19+O21</f>
        <v/>
      </c>
      <c r="P22" s="18">
        <f>O22</f>
        <v/>
      </c>
    </row>
    <row r="24">
      <c r="B24" s="9" t="inlineStr">
        <is>
          <t>Контроль: активы минус пассивы</t>
        </is>
      </c>
      <c r="D24" s="18">
        <f>ROUND(D14-D22,2)</f>
        <v/>
      </c>
      <c r="E24" s="18">
        <f>ROUND(E14-E22,2)</f>
        <v/>
      </c>
      <c r="F24" s="18">
        <f>ROUND(F14-F22,2)</f>
        <v/>
      </c>
      <c r="G24" s="18">
        <f>ROUND(G14-G22,2)</f>
        <v/>
      </c>
      <c r="H24" s="18">
        <f>ROUND(H14-H22,2)</f>
        <v/>
      </c>
      <c r="I24" s="18">
        <f>ROUND(I14-I22,2)</f>
        <v/>
      </c>
      <c r="J24" s="18">
        <f>ROUND(J14-J22,2)</f>
        <v/>
      </c>
      <c r="K24" s="18">
        <f>ROUND(K14-K22,2)</f>
        <v/>
      </c>
      <c r="L24" s="18">
        <f>ROUND(L14-L22,2)</f>
        <v/>
      </c>
      <c r="M24" s="18">
        <f>ROUND(M14-M22,2)</f>
        <v/>
      </c>
      <c r="N24" s="18">
        <f>ROUND(N14-N22,2)</f>
        <v/>
      </c>
      <c r="O24" s="18">
        <f>ROUND(O14-O22,2)</f>
        <v/>
      </c>
      <c r="P24" s="18">
        <f>O24</f>
        <v/>
      </c>
    </row>
    <row r="26" ht="20" customHeight="1">
      <c r="B26" s="7" t="inlineStr">
        <is>
          <t>Расчёт закупок (для кредиторской задолженности)</t>
        </is>
      </c>
    </row>
    <row r="27" ht="3" customHeight="1"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  <c r="N27" s="8" t="n"/>
      <c r="O27" s="8" t="n"/>
      <c r="P27" s="8" t="n"/>
    </row>
    <row r="28">
      <c r="B28" s="9" t="inlineStr">
        <is>
          <t>Закупки за месяц</t>
        </is>
      </c>
      <c r="D28" s="15">
        <f>ОПиУ!D9+D11-ЗапасыНач</f>
        <v/>
      </c>
      <c r="E28" s="15">
        <f>ОПиУ!E9+E11-D11</f>
        <v/>
      </c>
      <c r="F28" s="15">
        <f>ОПиУ!F9+F11-E11</f>
        <v/>
      </c>
      <c r="G28" s="15">
        <f>ОПиУ!G9+G11-F11</f>
        <v/>
      </c>
      <c r="H28" s="15">
        <f>ОПиУ!H9+H11-G11</f>
        <v/>
      </c>
      <c r="I28" s="15">
        <f>ОПиУ!I9+I11-H11</f>
        <v/>
      </c>
      <c r="J28" s="15">
        <f>ОПиУ!J9+J11-I11</f>
        <v/>
      </c>
      <c r="K28" s="15">
        <f>ОПиУ!K9+K11-J11</f>
        <v/>
      </c>
      <c r="L28" s="15">
        <f>ОПиУ!L9+L11-K11</f>
        <v/>
      </c>
      <c r="M28" s="15">
        <f>ОПиУ!M9+M11-L11</f>
        <v/>
      </c>
      <c r="N28" s="15">
        <f>ОПиУ!N9+N11-M11</f>
        <v/>
      </c>
      <c r="O28" s="15">
        <f>ОПиУ!O9+O11-N11</f>
        <v/>
      </c>
      <c r="P28" s="18">
        <f>SUM(D28:O28)</f>
        <v/>
      </c>
    </row>
    <row r="30" ht="26" customHeight="1">
      <c r="B30" s="14" t="inlineStr">
        <is>
          <t>Закупки — это себестоимость проданного плюс то, что дополнительно легло на склад. Именно они, а не выручка, формируют долг перед поставщиками.</t>
        </is>
      </c>
    </row>
    <row r="32">
      <c r="B32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30:P30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P34"/>
  <sheetViews>
    <sheetView showGridLines="0" zoomScale="100" workbookViewId="0">
      <pane xSplit="3" ySplit="7" topLeftCell="D8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3" customWidth="1" min="16" max="16"/>
    <col width="4" customWidth="1" min="17" max="17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Движение денежных средств</t>
        </is>
      </c>
    </row>
    <row r="4" ht="15" customHeight="1">
      <c r="B4" s="3" t="inlineStr">
        <is>
          <t>Косвенный метод: от чистой прибыли к остатку на счёте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 ht="18" customHeight="1">
      <c r="B7" s="16" t="inlineStr">
        <is>
          <t>Статья, ₽</t>
        </is>
      </c>
      <c r="C7" s="17" t="inlineStr"/>
      <c r="D7" s="17" t="inlineStr">
        <is>
          <t>Янв</t>
        </is>
      </c>
      <c r="E7" s="17" t="inlineStr">
        <is>
          <t>Фев</t>
        </is>
      </c>
      <c r="F7" s="17" t="inlineStr">
        <is>
          <t>Мар</t>
        </is>
      </c>
      <c r="G7" s="17" t="inlineStr">
        <is>
          <t>Апр</t>
        </is>
      </c>
      <c r="H7" s="17" t="inlineStr">
        <is>
          <t>Май</t>
        </is>
      </c>
      <c r="I7" s="17" t="inlineStr">
        <is>
          <t>Июн</t>
        </is>
      </c>
      <c r="J7" s="17" t="inlineStr">
        <is>
          <t>Июл</t>
        </is>
      </c>
      <c r="K7" s="17" t="inlineStr">
        <is>
          <t>Авг</t>
        </is>
      </c>
      <c r="L7" s="17" t="inlineStr">
        <is>
          <t>Сен</t>
        </is>
      </c>
      <c r="M7" s="17" t="inlineStr">
        <is>
          <t>Окт</t>
        </is>
      </c>
      <c r="N7" s="17" t="inlineStr">
        <is>
          <t>Ноя</t>
        </is>
      </c>
      <c r="O7" s="17" t="inlineStr">
        <is>
          <t>Дек</t>
        </is>
      </c>
      <c r="P7" s="17" t="inlineStr">
        <is>
          <t>Год</t>
        </is>
      </c>
    </row>
    <row r="8">
      <c r="B8" s="3" t="inlineStr">
        <is>
          <t>Деньги на начало месяца</t>
        </is>
      </c>
      <c r="D8" s="15">
        <f>ДеньгиНач</f>
        <v/>
      </c>
      <c r="E8" s="15">
        <f>D27</f>
        <v/>
      </c>
      <c r="F8" s="15">
        <f>E27</f>
        <v/>
      </c>
      <c r="G8" s="15">
        <f>F27</f>
        <v/>
      </c>
      <c r="H8" s="15">
        <f>G27</f>
        <v/>
      </c>
      <c r="I8" s="15">
        <f>H27</f>
        <v/>
      </c>
      <c r="J8" s="15">
        <f>I27</f>
        <v/>
      </c>
      <c r="K8" s="15">
        <f>J27</f>
        <v/>
      </c>
      <c r="L8" s="15">
        <f>K27</f>
        <v/>
      </c>
      <c r="M8" s="15">
        <f>L27</f>
        <v/>
      </c>
      <c r="N8" s="15">
        <f>M27</f>
        <v/>
      </c>
      <c r="O8" s="15">
        <f>N27</f>
        <v/>
      </c>
    </row>
    <row r="10" ht="20" customHeight="1">
      <c r="B10" s="7" t="inlineStr">
        <is>
          <t>Операционная деятельность</t>
        </is>
      </c>
    </row>
    <row r="11" ht="3" customHeight="1"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</row>
    <row r="12">
      <c r="B12" s="9" t="inlineStr">
        <is>
          <t>Чистая прибыль</t>
        </is>
      </c>
      <c r="D12" s="15">
        <f>ОПиУ!D18</f>
        <v/>
      </c>
      <c r="E12" s="15">
        <f>ОПиУ!E18</f>
        <v/>
      </c>
      <c r="F12" s="15">
        <f>ОПиУ!F18</f>
        <v/>
      </c>
      <c r="G12" s="15">
        <f>ОПиУ!G18</f>
        <v/>
      </c>
      <c r="H12" s="15">
        <f>ОПиУ!H18</f>
        <v/>
      </c>
      <c r="I12" s="15">
        <f>ОПиУ!I18</f>
        <v/>
      </c>
      <c r="J12" s="15">
        <f>ОПиУ!J18</f>
        <v/>
      </c>
      <c r="K12" s="15">
        <f>ОПиУ!K18</f>
        <v/>
      </c>
      <c r="L12" s="15">
        <f>ОПиУ!L18</f>
        <v/>
      </c>
      <c r="M12" s="15">
        <f>ОПиУ!M18</f>
        <v/>
      </c>
      <c r="N12" s="15">
        <f>ОПиУ!N18</f>
        <v/>
      </c>
      <c r="O12" s="15">
        <f>ОПиУ!O18</f>
        <v/>
      </c>
    </row>
    <row r="13">
      <c r="B13" s="9" t="inlineStr">
        <is>
          <t>Амортизация (расход без денег)</t>
        </is>
      </c>
      <c r="D13" s="15">
        <f>Данные!D55</f>
        <v/>
      </c>
      <c r="E13" s="15">
        <f>Данные!E55</f>
        <v/>
      </c>
      <c r="F13" s="15">
        <f>Данные!F55</f>
        <v/>
      </c>
      <c r="G13" s="15">
        <f>Данные!G55</f>
        <v/>
      </c>
      <c r="H13" s="15">
        <f>Данные!H55</f>
        <v/>
      </c>
      <c r="I13" s="15">
        <f>Данные!I55</f>
        <v/>
      </c>
      <c r="J13" s="15">
        <f>Данные!J55</f>
        <v/>
      </c>
      <c r="K13" s="15">
        <f>Данные!K55</f>
        <v/>
      </c>
      <c r="L13" s="15">
        <f>Данные!L55</f>
        <v/>
      </c>
      <c r="M13" s="15">
        <f>Данные!M55</f>
        <v/>
      </c>
      <c r="N13" s="15">
        <f>Данные!N55</f>
        <v/>
      </c>
      <c r="O13" s="15">
        <f>Данные!O55</f>
        <v/>
      </c>
    </row>
    <row r="14">
      <c r="B14" s="9" t="inlineStr">
        <is>
          <t>Изменение запасов</t>
        </is>
      </c>
      <c r="D14" s="15">
        <f>-(Баланс!D11-ЗапасыНач)</f>
        <v/>
      </c>
      <c r="E14" s="15">
        <f>-(Баланс!E11-Баланс!D11)</f>
        <v/>
      </c>
      <c r="F14" s="15">
        <f>-(Баланс!F11-Баланс!E11)</f>
        <v/>
      </c>
      <c r="G14" s="15">
        <f>-(Баланс!G11-Баланс!F11)</f>
        <v/>
      </c>
      <c r="H14" s="15">
        <f>-(Баланс!H11-Баланс!G11)</f>
        <v/>
      </c>
      <c r="I14" s="15">
        <f>-(Баланс!I11-Баланс!H11)</f>
        <v/>
      </c>
      <c r="J14" s="15">
        <f>-(Баланс!J11-Баланс!I11)</f>
        <v/>
      </c>
      <c r="K14" s="15">
        <f>-(Баланс!K11-Баланс!J11)</f>
        <v/>
      </c>
      <c r="L14" s="15">
        <f>-(Баланс!L11-Баланс!K11)</f>
        <v/>
      </c>
      <c r="M14" s="15">
        <f>-(Баланс!M11-Баланс!L11)</f>
        <v/>
      </c>
      <c r="N14" s="15">
        <f>-(Баланс!N11-Баланс!M11)</f>
        <v/>
      </c>
      <c r="O14" s="15">
        <f>-(Баланс!O11-Баланс!N11)</f>
        <v/>
      </c>
    </row>
    <row r="15">
      <c r="B15" s="9" t="inlineStr">
        <is>
          <t>Изменение дебиторской задолженности</t>
        </is>
      </c>
      <c r="D15" s="15">
        <f>-(Баланс!D12-ДебиторкаНач)</f>
        <v/>
      </c>
      <c r="E15" s="15">
        <f>-(Баланс!E12-Баланс!D12)</f>
        <v/>
      </c>
      <c r="F15" s="15">
        <f>-(Баланс!F12-Баланс!E12)</f>
        <v/>
      </c>
      <c r="G15" s="15">
        <f>-(Баланс!G12-Баланс!F12)</f>
        <v/>
      </c>
      <c r="H15" s="15">
        <f>-(Баланс!H12-Баланс!G12)</f>
        <v/>
      </c>
      <c r="I15" s="15">
        <f>-(Баланс!I12-Баланс!H12)</f>
        <v/>
      </c>
      <c r="J15" s="15">
        <f>-(Баланс!J12-Баланс!I12)</f>
        <v/>
      </c>
      <c r="K15" s="15">
        <f>-(Баланс!K12-Баланс!J12)</f>
        <v/>
      </c>
      <c r="L15" s="15">
        <f>-(Баланс!L12-Баланс!K12)</f>
        <v/>
      </c>
      <c r="M15" s="15">
        <f>-(Баланс!M12-Баланс!L12)</f>
        <v/>
      </c>
      <c r="N15" s="15">
        <f>-(Баланс!N12-Баланс!M12)</f>
        <v/>
      </c>
      <c r="O15" s="15">
        <f>-(Баланс!O12-Баланс!N12)</f>
        <v/>
      </c>
    </row>
    <row r="16">
      <c r="B16" s="9" t="inlineStr">
        <is>
          <t>Изменение кредиторской задолженности</t>
        </is>
      </c>
      <c r="D16" s="15">
        <f>Баланс!D18-КредиторкаНач</f>
        <v/>
      </c>
      <c r="E16" s="15">
        <f>Баланс!E18-Баланс!D18</f>
        <v/>
      </c>
      <c r="F16" s="15">
        <f>Баланс!F18-Баланс!E18</f>
        <v/>
      </c>
      <c r="G16" s="15">
        <f>Баланс!G18-Баланс!F18</f>
        <v/>
      </c>
      <c r="H16" s="15">
        <f>Баланс!H18-Баланс!G18</f>
        <v/>
      </c>
      <c r="I16" s="15">
        <f>Баланс!I18-Баланс!H18</f>
        <v/>
      </c>
      <c r="J16" s="15">
        <f>Баланс!J18-Баланс!I18</f>
        <v/>
      </c>
      <c r="K16" s="15">
        <f>Баланс!K18-Баланс!J18</f>
        <v/>
      </c>
      <c r="L16" s="15">
        <f>Баланс!L18-Баланс!K18</f>
        <v/>
      </c>
      <c r="M16" s="15">
        <f>Баланс!M18-Баланс!L18</f>
        <v/>
      </c>
      <c r="N16" s="15">
        <f>Баланс!N18-Баланс!M18</f>
        <v/>
      </c>
      <c r="O16" s="15">
        <f>Баланс!O18-Баланс!N18</f>
        <v/>
      </c>
    </row>
    <row r="17">
      <c r="B17" s="9" t="inlineStr">
        <is>
          <t>Поток от операционной деятельности</t>
        </is>
      </c>
      <c r="D17" s="18">
        <f>SUM(D12:D16)</f>
        <v/>
      </c>
      <c r="E17" s="18">
        <f>SUM(E12:E16)</f>
        <v/>
      </c>
      <c r="F17" s="18">
        <f>SUM(F12:F16)</f>
        <v/>
      </c>
      <c r="G17" s="18">
        <f>SUM(G12:G16)</f>
        <v/>
      </c>
      <c r="H17" s="18">
        <f>SUM(H12:H16)</f>
        <v/>
      </c>
      <c r="I17" s="18">
        <f>SUM(I12:I16)</f>
        <v/>
      </c>
      <c r="J17" s="18">
        <f>SUM(J12:J16)</f>
        <v/>
      </c>
      <c r="K17" s="18">
        <f>SUM(K12:K16)</f>
        <v/>
      </c>
      <c r="L17" s="18">
        <f>SUM(L12:L16)</f>
        <v/>
      </c>
      <c r="M17" s="18">
        <f>SUM(M12:M16)</f>
        <v/>
      </c>
      <c r="N17" s="18">
        <f>SUM(N12:N16)</f>
        <v/>
      </c>
      <c r="O17" s="18">
        <f>SUM(O12:O16)</f>
        <v/>
      </c>
      <c r="P17" s="18">
        <f>SUM(D17:O17)</f>
        <v/>
      </c>
    </row>
    <row r="19" ht="20" customHeight="1">
      <c r="B19" s="7" t="inlineStr">
        <is>
          <t>Инвестиции и финансирование</t>
        </is>
      </c>
    </row>
    <row r="20" ht="3" customHeight="1"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8" t="n"/>
      <c r="O20" s="8" t="n"/>
      <c r="P20" s="8" t="n"/>
    </row>
    <row r="21">
      <c r="B21" s="9" t="inlineStr">
        <is>
          <t>Капитальные вложения</t>
        </is>
      </c>
      <c r="D21" s="15">
        <f>-Данные!D53</f>
        <v/>
      </c>
      <c r="E21" s="15">
        <f>-Данные!E53</f>
        <v/>
      </c>
      <c r="F21" s="15">
        <f>-Данные!F53</f>
        <v/>
      </c>
      <c r="G21" s="15">
        <f>-Данные!G53</f>
        <v/>
      </c>
      <c r="H21" s="15">
        <f>-Данные!H53</f>
        <v/>
      </c>
      <c r="I21" s="15">
        <f>-Данные!I53</f>
        <v/>
      </c>
      <c r="J21" s="15">
        <f>-Данные!J53</f>
        <v/>
      </c>
      <c r="K21" s="15">
        <f>-Данные!K53</f>
        <v/>
      </c>
      <c r="L21" s="15">
        <f>-Данные!L53</f>
        <v/>
      </c>
      <c r="M21" s="15">
        <f>-Данные!M53</f>
        <v/>
      </c>
      <c r="N21" s="15">
        <f>-Данные!N53</f>
        <v/>
      </c>
      <c r="O21" s="15">
        <f>-Данные!O53</f>
        <v/>
      </c>
      <c r="P21" s="18">
        <f>SUM(D21:O21)</f>
        <v/>
      </c>
    </row>
    <row r="22">
      <c r="B22" s="9" t="inlineStr">
        <is>
          <t>Погашение кредита</t>
        </is>
      </c>
      <c r="D22" s="15">
        <f>-Данные!D59</f>
        <v/>
      </c>
      <c r="E22" s="15">
        <f>-Данные!E59</f>
        <v/>
      </c>
      <c r="F22" s="15">
        <f>-Данные!F59</f>
        <v/>
      </c>
      <c r="G22" s="15">
        <f>-Данные!G59</f>
        <v/>
      </c>
      <c r="H22" s="15">
        <f>-Данные!H59</f>
        <v/>
      </c>
      <c r="I22" s="15">
        <f>-Данные!I59</f>
        <v/>
      </c>
      <c r="J22" s="15">
        <f>-Данные!J59</f>
        <v/>
      </c>
      <c r="K22" s="15">
        <f>-Данные!K59</f>
        <v/>
      </c>
      <c r="L22" s="15">
        <f>-Данные!L59</f>
        <v/>
      </c>
      <c r="M22" s="15">
        <f>-Данные!M59</f>
        <v/>
      </c>
      <c r="N22" s="15">
        <f>-Данные!N59</f>
        <v/>
      </c>
      <c r="O22" s="15">
        <f>-Данные!O59</f>
        <v/>
      </c>
    </row>
    <row r="23">
      <c r="B23" s="9" t="inlineStr">
        <is>
          <t>Дивиденды</t>
        </is>
      </c>
      <c r="D23" s="15">
        <f>-Данные!D63</f>
        <v/>
      </c>
      <c r="E23" s="15">
        <f>-Данные!E63</f>
        <v/>
      </c>
      <c r="F23" s="15">
        <f>-Данные!F63</f>
        <v/>
      </c>
      <c r="G23" s="15">
        <f>-Данные!G63</f>
        <v/>
      </c>
      <c r="H23" s="15">
        <f>-Данные!H63</f>
        <v/>
      </c>
      <c r="I23" s="15">
        <f>-Данные!I63</f>
        <v/>
      </c>
      <c r="J23" s="15">
        <f>-Данные!J63</f>
        <v/>
      </c>
      <c r="K23" s="15">
        <f>-Данные!K63</f>
        <v/>
      </c>
      <c r="L23" s="15">
        <f>-Данные!L63</f>
        <v/>
      </c>
      <c r="M23" s="15">
        <f>-Данные!M63</f>
        <v/>
      </c>
      <c r="N23" s="15">
        <f>-Данные!N63</f>
        <v/>
      </c>
      <c r="O23" s="15">
        <f>-Данные!O63</f>
        <v/>
      </c>
    </row>
    <row r="24">
      <c r="B24" s="9" t="inlineStr">
        <is>
          <t>Поток от финансовой деятельности</t>
        </is>
      </c>
      <c r="D24" s="18">
        <f>D22+D23</f>
        <v/>
      </c>
      <c r="E24" s="18">
        <f>E22+E23</f>
        <v/>
      </c>
      <c r="F24" s="18">
        <f>F22+F23</f>
        <v/>
      </c>
      <c r="G24" s="18">
        <f>G22+G23</f>
        <v/>
      </c>
      <c r="H24" s="18">
        <f>H22+H23</f>
        <v/>
      </c>
      <c r="I24" s="18">
        <f>I22+I23</f>
        <v/>
      </c>
      <c r="J24" s="18">
        <f>J22+J23</f>
        <v/>
      </c>
      <c r="K24" s="18">
        <f>K22+K23</f>
        <v/>
      </c>
      <c r="L24" s="18">
        <f>L22+L23</f>
        <v/>
      </c>
      <c r="M24" s="18">
        <f>M22+M23</f>
        <v/>
      </c>
      <c r="N24" s="18">
        <f>N22+N23</f>
        <v/>
      </c>
      <c r="O24" s="18">
        <f>O22+O23</f>
        <v/>
      </c>
      <c r="P24" s="18">
        <f>SUM(D24:O24)</f>
        <v/>
      </c>
    </row>
    <row r="26">
      <c r="B26" s="9" t="inlineStr">
        <is>
          <t>Чистое изменение денег</t>
        </is>
      </c>
      <c r="D26" s="18">
        <f>D17+D21+D24</f>
        <v/>
      </c>
      <c r="E26" s="18">
        <f>E17+E21+E24</f>
        <v/>
      </c>
      <c r="F26" s="18">
        <f>F17+F21+F24</f>
        <v/>
      </c>
      <c r="G26" s="18">
        <f>G17+G21+G24</f>
        <v/>
      </c>
      <c r="H26" s="18">
        <f>H17+H21+H24</f>
        <v/>
      </c>
      <c r="I26" s="18">
        <f>I17+I21+I24</f>
        <v/>
      </c>
      <c r="J26" s="18">
        <f>J17+J21+J24</f>
        <v/>
      </c>
      <c r="K26" s="18">
        <f>K17+K21+K24</f>
        <v/>
      </c>
      <c r="L26" s="18">
        <f>L17+L21+L24</f>
        <v/>
      </c>
      <c r="M26" s="18">
        <f>M17+M21+M24</f>
        <v/>
      </c>
      <c r="N26" s="18">
        <f>N17+N21+N24</f>
        <v/>
      </c>
      <c r="O26" s="18">
        <f>O17+O21+O24</f>
        <v/>
      </c>
      <c r="P26" s="18">
        <f>SUM(D26:O26)</f>
        <v/>
      </c>
    </row>
    <row r="27">
      <c r="B27" s="9" t="inlineStr">
        <is>
          <t>Деньги на конец месяца</t>
        </is>
      </c>
      <c r="D27" s="18">
        <f>D8+D26</f>
        <v/>
      </c>
      <c r="E27" s="18">
        <f>E8+E26</f>
        <v/>
      </c>
      <c r="F27" s="18">
        <f>F8+F26</f>
        <v/>
      </c>
      <c r="G27" s="18">
        <f>G8+G26</f>
        <v/>
      </c>
      <c r="H27" s="18">
        <f>H8+H26</f>
        <v/>
      </c>
      <c r="I27" s="18">
        <f>I8+I26</f>
        <v/>
      </c>
      <c r="J27" s="18">
        <f>J8+J26</f>
        <v/>
      </c>
      <c r="K27" s="18">
        <f>K8+K26</f>
        <v/>
      </c>
      <c r="L27" s="18">
        <f>L8+L26</f>
        <v/>
      </c>
      <c r="M27" s="18">
        <f>M8+M26</f>
        <v/>
      </c>
      <c r="N27" s="18">
        <f>N8+N26</f>
        <v/>
      </c>
      <c r="O27" s="18">
        <f>O8+O26</f>
        <v/>
      </c>
      <c r="P27" s="18">
        <f>O27</f>
        <v/>
      </c>
    </row>
    <row r="29">
      <c r="B29" s="9" t="inlineStr">
        <is>
          <t>Самый низкий остаток за год</t>
        </is>
      </c>
      <c r="D29" s="15">
        <f>MIN(D27:O27)</f>
        <v/>
      </c>
    </row>
    <row r="30">
      <c r="B30" s="9" t="inlineStr">
        <is>
          <t>Разрыв между прибылью и деньгами за год</t>
        </is>
      </c>
      <c r="D30" s="15">
        <f>ЧистаяПрибыльГод-ЧистыйПоток</f>
        <v/>
      </c>
    </row>
    <row r="32" ht="26" customHeight="1">
      <c r="B32" s="14" t="inlineStr">
        <is>
          <t>Прибыль и деньги расходятся ровно на то, что связано в оборотном капитале, вложено в основные средства и отдано банку и собственнику. Если самый низкий остаток ушёл в минус — план требует денег раньше, чем принесёт их.</t>
        </is>
      </c>
    </row>
    <row r="34">
      <c r="B34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1">
    <mergeCell ref="B32:P32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