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одель" sheetId="1" state="visible" r:id="rId1"/>
  </sheets>
  <definedNames>
    <definedName name="ДлинаПериода">'Модель'!$D$11</definedName>
    <definedName name="БазаНачало">'Модель'!$D$12</definedName>
    <definedName name="НовыхЗаПериод">'Модель'!$D$13</definedName>
    <definedName name="Churn">'Модель'!$D$14</definedName>
    <definedName name="Arpu">'Модель'!$D$15</definedName>
    <definedName name="Расширение">'Модель'!$D$16</definedName>
    <definedName name="Маржинальность">'Модель'!$D$17</definedName>
    <definedName name="Cac">'Модель'!$D$18</definedName>
    <definedName name="СтавкаГод">'Модель'!$D$19</definedName>
    <definedName name="ЦельLtvCac">'Модель'!$D$20</definedName>
    <definedName name="ПришлоВсего">'Модель'!$P$27</definedName>
    <definedName name="УшлоВсего">'Модель'!$P$28</definedName>
    <definedName name="БазаКонец">'Модель'!$P$29</definedName>
    <definedName name="ArpuКонец">'Модель'!$P$30</definedName>
    <definedName name="ВыручкаВсего">'Модель'!$P$31</definedName>
    <definedName name="МаржаВсего">'Модель'!$P$32</definedName>
    <definedName name="ПривлечениеВсего">'Модель'!$P$33</definedName>
    <definedName name="РезультатВсего">'Модель'!$P$34</definedName>
    <definedName name="ПриростБазы">'Модель'!$D$38</definedName>
    <definedName name="ВыручкаПоследнего">'Модель'!$D$39</definedName>
    <definedName name="Arr">'Модель'!$D$40</definedName>
    <definedName name="ДоляПривлечения">'Модель'!$D$41</definedName>
    <definedName name="Retention">'Модель'!$D$46</definedName>
    <definedName name="ChurnГодовой">'Модель'!$D$47</definedName>
    <definedName name="RetentionГодовой">'Модель'!$D$48</definedName>
    <definedName name="Grr">'Модель'!$D$49</definedName>
    <definedName name="Nrr">'Модель'!$D$50</definedName>
    <definedName name="LtПериодов">'Модель'!$D$55</definedName>
    <definedName name="LtМесяцев">'Модель'!$D$56</definedName>
    <definedName name="LtЛет">'Модель'!$D$57</definedName>
    <definedName name="ArpuМесяц">'Модель'!$D$58</definedName>
    <definedName name="МаржаКлиента">'Модель'!$D$59</definedName>
    <definedName name="Ltr">'Модель'!$D$60</definedName>
    <definedName name="Ltv">'Модель'!$D$61</definedName>
    <definedName name="LtvCac">'Модель'!$D$62</definedName>
    <definedName name="ЦельДостигнута">'Модель'!$D$63</definedName>
    <definedName name="PaybackПериодов">'Модель'!$D$64</definedName>
    <definedName name="PaybackМесяцев">'Модель'!$D$65</definedName>
    <definedName name="ПрибыльКлиента">'Модель'!$D$66</definedName>
    <definedName name="СтавкаПериод">'Модель'!$D$71</definedName>
    <definedName name="LtvДисконт">'Модель'!$D$72</definedName>
    <definedName name="LtvДисконтCac">'Модель'!$D$73</definedName>
    <definedName name="ПотеряОтДисконта">'Модель'!$D$74</definedName>
    <definedName name="РавновеснаяБаза">'Модель'!$D$79</definedName>
    <definedName name="ВыручкаНаПолке">'Модель'!$D$80</definedName>
    <definedName name="БлизостьКПределу">'Модель'!$D$81</definedName>
    <definedName name="ChurnНовый">'Модель'!$D$86</definedName>
    <definedName name="LtНовый">'Модель'!$D$87</definedName>
    <definedName name="LtvНовый">'Модель'!$D$88</definedName>
    <definedName name="LtvCacНовый">'Модель'!$D$89</definedName>
    <definedName name="РостЦенности">'Модель'!$D$90</definedName>
    <definedName name="РавновеснаяНовая">'Модель'!$D$91</definedName>
    <definedName name="ПриростПотолка">'Модель'!$D$92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1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b val="1"/>
      <color rgb="00161616"/>
      <sz val="11"/>
    </font>
    <font>
      <name val="Segoe UI"/>
      <color rgb="00161616"/>
      <sz val="10"/>
    </font>
    <font>
      <name val="Segoe UI"/>
      <color rgb="000043CE"/>
      <sz val="10"/>
    </font>
    <font>
      <name val="Segoe UI"/>
      <b val="1"/>
      <color rgb="00525252"/>
      <sz val="9"/>
    </font>
    <font>
      <name val="Segoe UI"/>
      <b val="1"/>
      <color rgb="00161616"/>
      <sz val="10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5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E0E0E0"/>
      </bottom>
    </border>
    <border>
      <bottom style="thin">
        <color rgb="00161616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0" fillId="0" borderId="3" pivotButton="0" quotePrefix="0" xfId="0"/>
    <xf numFmtId="0" fontId="7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2" fontId="8" fillId="2" borderId="2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  <xf numFmtId="0" fontId="9" fillId="0" borderId="4" applyAlignment="1" pivotButton="0" quotePrefix="0" xfId="0">
      <alignment horizontal="left" vertical="center"/>
    </xf>
    <xf numFmtId="0" fontId="9" fillId="0" borderId="4" applyAlignment="1" pivotButton="0" quotePrefix="0" xfId="0">
      <alignment horizontal="center" vertical="center"/>
    </xf>
    <xf numFmtId="3" fontId="7" fillId="0" borderId="0" applyAlignment="1" pivotButton="0" quotePrefix="0" xfId="0">
      <alignment horizontal="right" vertical="center"/>
    </xf>
    <xf numFmtId="3" fontId="10" fillId="0" borderId="0" applyAlignment="1" pivotButton="0" quotePrefix="0" xfId="0">
      <alignment horizontal="right" vertical="center"/>
    </xf>
    <xf numFmtId="4" fontId="7" fillId="0" borderId="0" applyAlignment="1" pivotButton="0" quotePrefix="0" xfId="0">
      <alignment horizontal="right" vertical="center"/>
    </xf>
    <xf numFmtId="4" fontId="10" fillId="0" borderId="0" applyAlignment="1" pivotButton="0" quotePrefix="0" xfId="0">
      <alignment horizontal="right" vertical="center"/>
    </xf>
    <xf numFmtId="164" fontId="7" fillId="0" borderId="0" applyAlignment="1" pivotButton="0" quotePrefix="0" xfId="0">
      <alignment horizontal="right" vertical="center"/>
    </xf>
    <xf numFmtId="2" fontId="7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P95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36" customWidth="1" min="2" max="2"/>
    <col width="3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3" customWidth="1" min="16" max="16"/>
    <col width="4" customWidth="1" min="17" max="17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Подписочная модель</t>
        </is>
      </c>
    </row>
    <row r="4" ht="15" customHeight="1">
      <c r="B4" s="3" t="inlineStr">
        <is>
          <t>Retention, Churn, LT, ARPU, LTR, LTV и предел роста базы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 ht="20" customHeight="1">
      <c r="B9" s="7" t="inlineStr">
        <is>
          <t>Параметры</t>
        </is>
      </c>
    </row>
    <row r="10" ht="3" customHeight="1">
      <c r="B10" s="8" t="n"/>
      <c r="C10" s="8" t="n"/>
      <c r="D10" s="8" t="n"/>
      <c r="E10" s="8" t="n"/>
      <c r="F10" s="8" t="n"/>
      <c r="G10" s="8" t="n"/>
      <c r="H10" s="8" t="n"/>
      <c r="I10" s="8" t="n"/>
      <c r="J10" s="8" t="n"/>
    </row>
    <row r="11">
      <c r="B11" s="9" t="inlineStr">
        <is>
          <t>Длительность периода, месяцев</t>
        </is>
      </c>
      <c r="C11" s="10" t="inlineStr">
        <is>
          <t>мес.</t>
        </is>
      </c>
      <c r="D11" s="11" t="n">
        <v>1</v>
      </c>
    </row>
    <row r="12">
      <c r="B12" s="9" t="inlineStr">
        <is>
          <t>Клиентов на начало</t>
        </is>
      </c>
      <c r="C12" s="10" t="inlineStr">
        <is>
          <t>шт.</t>
        </is>
      </c>
      <c r="D12" s="11" t="n">
        <v>400</v>
      </c>
    </row>
    <row r="13">
      <c r="B13" s="9" t="inlineStr">
        <is>
          <t>Новых клиентов за период</t>
        </is>
      </c>
      <c r="C13" s="10" t="inlineStr">
        <is>
          <t>шт.</t>
        </is>
      </c>
      <c r="D13" s="11" t="n">
        <v>45</v>
      </c>
    </row>
    <row r="14">
      <c r="B14" s="9" t="inlineStr">
        <is>
          <t>Churn — отток за период</t>
        </is>
      </c>
      <c r="C14" s="10" t="inlineStr">
        <is>
          <t>%</t>
        </is>
      </c>
      <c r="D14" s="12" t="n">
        <v>0.05</v>
      </c>
    </row>
    <row r="15">
      <c r="B15" s="9" t="inlineStr">
        <is>
          <t>ARPU — выручка на клиента за период</t>
        </is>
      </c>
      <c r="C15" s="10" t="inlineStr">
        <is>
          <t>₽</t>
        </is>
      </c>
      <c r="D15" s="11" t="n">
        <v>12000</v>
      </c>
    </row>
    <row r="16">
      <c r="B16" s="9" t="inlineStr">
        <is>
          <t>Расширение выручки на действующем клиенте</t>
        </is>
      </c>
      <c r="C16" s="10" t="inlineStr">
        <is>
          <t>%</t>
        </is>
      </c>
      <c r="D16" s="12" t="n">
        <v>0.01</v>
      </c>
    </row>
    <row r="17">
      <c r="B17" s="9" t="inlineStr">
        <is>
          <t>Маржинальность подписки</t>
        </is>
      </c>
      <c r="C17" s="10" t="inlineStr">
        <is>
          <t>%</t>
        </is>
      </c>
      <c r="D17" s="12" t="n">
        <v>0.72</v>
      </c>
    </row>
    <row r="18">
      <c r="B18" s="9" t="inlineStr">
        <is>
          <t>CAC — стоимость привлечения клиента</t>
        </is>
      </c>
      <c r="C18" s="10" t="inlineStr">
        <is>
          <t>₽</t>
        </is>
      </c>
      <c r="D18" s="11" t="n">
        <v>26000</v>
      </c>
    </row>
    <row r="19">
      <c r="B19" s="9" t="inlineStr">
        <is>
          <t>Ставка дисконтирования, годовая</t>
        </is>
      </c>
      <c r="C19" s="10" t="inlineStr">
        <is>
          <t>%</t>
        </is>
      </c>
      <c r="D19" s="12" t="n">
        <v>0.2</v>
      </c>
    </row>
    <row r="20">
      <c r="B20" s="9" t="inlineStr">
        <is>
          <t>Целевое отношение LTV к CAC</t>
        </is>
      </c>
      <c r="C20" s="10" t="inlineStr">
        <is>
          <t>×</t>
        </is>
      </c>
      <c r="D20" s="13" t="n">
        <v>3</v>
      </c>
    </row>
    <row r="21" ht="38" customHeight="1">
      <c r="B21" s="14" t="inlineStr">
        <is>
          <t>Длительность периода задаёт шаг всей модели: 1 — месячные периоды, 3 — квартальные, 12 — годовые. ARPU и Churn задаются за выбранный период, поэтому при смене шага их нужно пересчитать — модель приводит результат к месяцам и годам сама.</t>
        </is>
      </c>
    </row>
    <row r="23" ht="20" customHeight="1">
      <c r="B23" s="7" t="inlineStr">
        <is>
          <t>Динамика базы и выручки по периодам</t>
        </is>
      </c>
    </row>
    <row r="24" ht="3" customHeight="1">
      <c r="B24" s="8" t="n"/>
      <c r="C24" s="8" t="n"/>
      <c r="D24" s="8" t="n"/>
      <c r="E24" s="8" t="n"/>
      <c r="F24" s="8" t="n"/>
      <c r="G24" s="8" t="n"/>
      <c r="H24" s="8" t="n"/>
      <c r="I24" s="8" t="n"/>
      <c r="J24" s="8" t="n"/>
      <c r="K24" s="8" t="n"/>
      <c r="L24" s="8" t="n"/>
      <c r="M24" s="8" t="n"/>
      <c r="N24" s="8" t="n"/>
      <c r="O24" s="8" t="n"/>
      <c r="P24" s="8" t="n"/>
    </row>
    <row r="25" ht="18" customHeight="1">
      <c r="B25" s="15" t="inlineStr">
        <is>
          <t>Показатель</t>
        </is>
      </c>
      <c r="C25" s="16" t="inlineStr"/>
      <c r="D25" s="16" t="inlineStr">
        <is>
          <t>1</t>
        </is>
      </c>
      <c r="E25" s="16" t="inlineStr">
        <is>
          <t>2</t>
        </is>
      </c>
      <c r="F25" s="16" t="inlineStr">
        <is>
          <t>3</t>
        </is>
      </c>
      <c r="G25" s="16" t="inlineStr">
        <is>
          <t>4</t>
        </is>
      </c>
      <c r="H25" s="16" t="inlineStr">
        <is>
          <t>5</t>
        </is>
      </c>
      <c r="I25" s="16" t="inlineStr">
        <is>
          <t>6</t>
        </is>
      </c>
      <c r="J25" s="16" t="inlineStr">
        <is>
          <t>7</t>
        </is>
      </c>
      <c r="K25" s="16" t="inlineStr">
        <is>
          <t>8</t>
        </is>
      </c>
      <c r="L25" s="16" t="inlineStr">
        <is>
          <t>9</t>
        </is>
      </c>
      <c r="M25" s="16" t="inlineStr">
        <is>
          <t>10</t>
        </is>
      </c>
      <c r="N25" s="16" t="inlineStr">
        <is>
          <t>11</t>
        </is>
      </c>
      <c r="O25" s="16" t="inlineStr">
        <is>
          <t>12</t>
        </is>
      </c>
      <c r="P25" s="16" t="inlineStr">
        <is>
          <t>Итого</t>
        </is>
      </c>
    </row>
    <row r="26">
      <c r="B26" s="3" t="inlineStr">
        <is>
          <t>База на начало периода</t>
        </is>
      </c>
      <c r="D26" s="17">
        <f>БазаНачало</f>
        <v/>
      </c>
      <c r="E26" s="17">
        <f>D29</f>
        <v/>
      </c>
      <c r="F26" s="17">
        <f>E29</f>
        <v/>
      </c>
      <c r="G26" s="17">
        <f>F29</f>
        <v/>
      </c>
      <c r="H26" s="17">
        <f>G29</f>
        <v/>
      </c>
      <c r="I26" s="17">
        <f>H29</f>
        <v/>
      </c>
      <c r="J26" s="17">
        <f>I29</f>
        <v/>
      </c>
      <c r="K26" s="17">
        <f>J29</f>
        <v/>
      </c>
      <c r="L26" s="17">
        <f>K29</f>
        <v/>
      </c>
      <c r="M26" s="17">
        <f>L29</f>
        <v/>
      </c>
      <c r="N26" s="17">
        <f>M29</f>
        <v/>
      </c>
      <c r="O26" s="17">
        <f>N29</f>
        <v/>
      </c>
    </row>
    <row r="27">
      <c r="B27" s="9" t="inlineStr">
        <is>
          <t>Пришло клиентов</t>
        </is>
      </c>
      <c r="D27" s="17">
        <f>НовыхЗаПериод</f>
        <v/>
      </c>
      <c r="E27" s="17">
        <f>НовыхЗаПериод</f>
        <v/>
      </c>
      <c r="F27" s="17">
        <f>НовыхЗаПериод</f>
        <v/>
      </c>
      <c r="G27" s="17">
        <f>НовыхЗаПериод</f>
        <v/>
      </c>
      <c r="H27" s="17">
        <f>НовыхЗаПериод</f>
        <v/>
      </c>
      <c r="I27" s="17">
        <f>НовыхЗаПериод</f>
        <v/>
      </c>
      <c r="J27" s="17">
        <f>НовыхЗаПериод</f>
        <v/>
      </c>
      <c r="K27" s="17">
        <f>НовыхЗаПериод</f>
        <v/>
      </c>
      <c r="L27" s="17">
        <f>НовыхЗаПериод</f>
        <v/>
      </c>
      <c r="M27" s="17">
        <f>НовыхЗаПериод</f>
        <v/>
      </c>
      <c r="N27" s="17">
        <f>НовыхЗаПериод</f>
        <v/>
      </c>
      <c r="O27" s="17">
        <f>НовыхЗаПериод</f>
        <v/>
      </c>
      <c r="P27" s="18">
        <f>SUM(D27:O27)</f>
        <v/>
      </c>
    </row>
    <row r="28">
      <c r="B28" s="9" t="inlineStr">
        <is>
          <t>Ушло клиентов</t>
        </is>
      </c>
      <c r="D28" s="19">
        <f>D26*Churn</f>
        <v/>
      </c>
      <c r="E28" s="19">
        <f>E26*Churn</f>
        <v/>
      </c>
      <c r="F28" s="19">
        <f>F26*Churn</f>
        <v/>
      </c>
      <c r="G28" s="19">
        <f>G26*Churn</f>
        <v/>
      </c>
      <c r="H28" s="19">
        <f>H26*Churn</f>
        <v/>
      </c>
      <c r="I28" s="19">
        <f>I26*Churn</f>
        <v/>
      </c>
      <c r="J28" s="19">
        <f>J26*Churn</f>
        <v/>
      </c>
      <c r="K28" s="19">
        <f>K26*Churn</f>
        <v/>
      </c>
      <c r="L28" s="19">
        <f>L26*Churn</f>
        <v/>
      </c>
      <c r="M28" s="19">
        <f>M26*Churn</f>
        <v/>
      </c>
      <c r="N28" s="19">
        <f>N26*Churn</f>
        <v/>
      </c>
      <c r="O28" s="19">
        <f>O26*Churn</f>
        <v/>
      </c>
      <c r="P28" s="20">
        <f>SUM(D28:O28)</f>
        <v/>
      </c>
    </row>
    <row r="29">
      <c r="B29" s="9" t="inlineStr">
        <is>
          <t>База на конец периода</t>
        </is>
      </c>
      <c r="D29" s="20">
        <f>D26+D27-D28</f>
        <v/>
      </c>
      <c r="E29" s="20">
        <f>E26+E27-E28</f>
        <v/>
      </c>
      <c r="F29" s="20">
        <f>F26+F27-F28</f>
        <v/>
      </c>
      <c r="G29" s="20">
        <f>G26+G27-G28</f>
        <v/>
      </c>
      <c r="H29" s="20">
        <f>H26+H27-H28</f>
        <v/>
      </c>
      <c r="I29" s="20">
        <f>I26+I27-I28</f>
        <v/>
      </c>
      <c r="J29" s="20">
        <f>J26+J27-J28</f>
        <v/>
      </c>
      <c r="K29" s="20">
        <f>K26+K27-K28</f>
        <v/>
      </c>
      <c r="L29" s="20">
        <f>L26+L27-L28</f>
        <v/>
      </c>
      <c r="M29" s="20">
        <f>M26+M27-M28</f>
        <v/>
      </c>
      <c r="N29" s="20">
        <f>N26+N27-N28</f>
        <v/>
      </c>
      <c r="O29" s="20">
        <f>O26+O27-O28</f>
        <v/>
      </c>
      <c r="P29" s="20">
        <f>O29</f>
        <v/>
      </c>
    </row>
    <row r="30">
      <c r="B30" s="3" t="inlineStr">
        <is>
          <t>ARPU периода</t>
        </is>
      </c>
      <c r="D30" s="17">
        <f>Arpu</f>
        <v/>
      </c>
      <c r="E30" s="17">
        <f>D30*(1+Расширение)</f>
        <v/>
      </c>
      <c r="F30" s="17">
        <f>E30*(1+Расширение)</f>
        <v/>
      </c>
      <c r="G30" s="17">
        <f>F30*(1+Расширение)</f>
        <v/>
      </c>
      <c r="H30" s="17">
        <f>G30*(1+Расширение)</f>
        <v/>
      </c>
      <c r="I30" s="17">
        <f>H30*(1+Расширение)</f>
        <v/>
      </c>
      <c r="J30" s="17">
        <f>I30*(1+Расширение)</f>
        <v/>
      </c>
      <c r="K30" s="17">
        <f>J30*(1+Расширение)</f>
        <v/>
      </c>
      <c r="L30" s="17">
        <f>K30*(1+Расширение)</f>
        <v/>
      </c>
      <c r="M30" s="17">
        <f>L30*(1+Расширение)</f>
        <v/>
      </c>
      <c r="N30" s="17">
        <f>M30*(1+Расширение)</f>
        <v/>
      </c>
      <c r="O30" s="17">
        <f>N30*(1+Расширение)</f>
        <v/>
      </c>
      <c r="P30" s="17">
        <f>O30</f>
        <v/>
      </c>
    </row>
    <row r="31">
      <c r="B31" s="9" t="inlineStr">
        <is>
          <t>Выручка периода</t>
        </is>
      </c>
      <c r="D31" s="17">
        <f>D29*D30</f>
        <v/>
      </c>
      <c r="E31" s="17">
        <f>E29*E30</f>
        <v/>
      </c>
      <c r="F31" s="17">
        <f>F29*F30</f>
        <v/>
      </c>
      <c r="G31" s="17">
        <f>G29*G30</f>
        <v/>
      </c>
      <c r="H31" s="17">
        <f>H29*H30</f>
        <v/>
      </c>
      <c r="I31" s="17">
        <f>I29*I30</f>
        <v/>
      </c>
      <c r="J31" s="17">
        <f>J29*J30</f>
        <v/>
      </c>
      <c r="K31" s="17">
        <f>K29*K30</f>
        <v/>
      </c>
      <c r="L31" s="17">
        <f>L29*L30</f>
        <v/>
      </c>
      <c r="M31" s="17">
        <f>M29*M30</f>
        <v/>
      </c>
      <c r="N31" s="17">
        <f>N29*N30</f>
        <v/>
      </c>
      <c r="O31" s="17">
        <f>O29*O30</f>
        <v/>
      </c>
      <c r="P31" s="18">
        <f>SUM(D31:O31)</f>
        <v/>
      </c>
    </row>
    <row r="32">
      <c r="B32" s="9" t="inlineStr">
        <is>
          <t>Маржа периода</t>
        </is>
      </c>
      <c r="D32" s="17">
        <f>D31*Маржинальность</f>
        <v/>
      </c>
      <c r="E32" s="17">
        <f>E31*Маржинальность</f>
        <v/>
      </c>
      <c r="F32" s="17">
        <f>F31*Маржинальность</f>
        <v/>
      </c>
      <c r="G32" s="17">
        <f>G31*Маржинальность</f>
        <v/>
      </c>
      <c r="H32" s="17">
        <f>H31*Маржинальность</f>
        <v/>
      </c>
      <c r="I32" s="17">
        <f>I31*Маржинальность</f>
        <v/>
      </c>
      <c r="J32" s="17">
        <f>J31*Маржинальность</f>
        <v/>
      </c>
      <c r="K32" s="17">
        <f>K31*Маржинальность</f>
        <v/>
      </c>
      <c r="L32" s="17">
        <f>L31*Маржинальность</f>
        <v/>
      </c>
      <c r="M32" s="17">
        <f>M31*Маржинальность</f>
        <v/>
      </c>
      <c r="N32" s="17">
        <f>N31*Маржинальность</f>
        <v/>
      </c>
      <c r="O32" s="17">
        <f>O31*Маржинальность</f>
        <v/>
      </c>
      <c r="P32" s="18">
        <f>SUM(D32:O32)</f>
        <v/>
      </c>
    </row>
    <row r="33">
      <c r="B33" s="3" t="inlineStr">
        <is>
          <t>Расходы на привлечение</t>
        </is>
      </c>
      <c r="D33" s="17">
        <f>D27*Cac</f>
        <v/>
      </c>
      <c r="E33" s="17">
        <f>E27*Cac</f>
        <v/>
      </c>
      <c r="F33" s="17">
        <f>F27*Cac</f>
        <v/>
      </c>
      <c r="G33" s="17">
        <f>G27*Cac</f>
        <v/>
      </c>
      <c r="H33" s="17">
        <f>H27*Cac</f>
        <v/>
      </c>
      <c r="I33" s="17">
        <f>I27*Cac</f>
        <v/>
      </c>
      <c r="J33" s="17">
        <f>J27*Cac</f>
        <v/>
      </c>
      <c r="K33" s="17">
        <f>K27*Cac</f>
        <v/>
      </c>
      <c r="L33" s="17">
        <f>L27*Cac</f>
        <v/>
      </c>
      <c r="M33" s="17">
        <f>M27*Cac</f>
        <v/>
      </c>
      <c r="N33" s="17">
        <f>N27*Cac</f>
        <v/>
      </c>
      <c r="O33" s="17">
        <f>O27*Cac</f>
        <v/>
      </c>
      <c r="P33" s="18">
        <f>SUM(D33:O33)</f>
        <v/>
      </c>
    </row>
    <row r="34">
      <c r="B34" s="9" t="inlineStr">
        <is>
          <t>Результат периода</t>
        </is>
      </c>
      <c r="D34" s="17">
        <f>D32-D33</f>
        <v/>
      </c>
      <c r="E34" s="17">
        <f>E32-E33</f>
        <v/>
      </c>
      <c r="F34" s="17">
        <f>F32-F33</f>
        <v/>
      </c>
      <c r="G34" s="17">
        <f>G32-G33</f>
        <v/>
      </c>
      <c r="H34" s="17">
        <f>H32-H33</f>
        <v/>
      </c>
      <c r="I34" s="17">
        <f>I32-I33</f>
        <v/>
      </c>
      <c r="J34" s="17">
        <f>J32-J33</f>
        <v/>
      </c>
      <c r="K34" s="17">
        <f>K32-K33</f>
        <v/>
      </c>
      <c r="L34" s="17">
        <f>L32-L33</f>
        <v/>
      </c>
      <c r="M34" s="17">
        <f>M32-M33</f>
        <v/>
      </c>
      <c r="N34" s="17">
        <f>N32-N33</f>
        <v/>
      </c>
      <c r="O34" s="17">
        <f>O32-O33</f>
        <v/>
      </c>
      <c r="P34" s="18">
        <f>МаржаВсего-ПривлечениеВсего</f>
        <v/>
      </c>
    </row>
    <row r="36" ht="20" customHeight="1">
      <c r="B36" s="7" t="inlineStr">
        <is>
          <t>Итоги за 12 периодов</t>
        </is>
      </c>
    </row>
    <row r="37" ht="3" customHeight="1">
      <c r="B37" s="8" t="n"/>
      <c r="C37" s="8" t="n"/>
      <c r="D37" s="8" t="n"/>
      <c r="E37" s="8" t="n"/>
      <c r="F37" s="8" t="n"/>
      <c r="G37" s="8" t="n"/>
      <c r="H37" s="8" t="n"/>
      <c r="I37" s="8" t="n"/>
      <c r="J37" s="8" t="n"/>
    </row>
    <row r="38">
      <c r="B38" s="9" t="inlineStr">
        <is>
          <t>Прирост базы</t>
        </is>
      </c>
      <c r="D38" s="19">
        <f>БазаКонец-БазаНачало</f>
        <v/>
      </c>
    </row>
    <row r="39">
      <c r="B39" s="9" t="inlineStr">
        <is>
          <t>Регулярная выручка последнего периода</t>
        </is>
      </c>
      <c r="D39" s="17">
        <f>БазаКонец*ArpuКонец</f>
        <v/>
      </c>
    </row>
    <row r="40">
      <c r="B40" s="9" t="inlineStr">
        <is>
          <t>Годовая регулярная выручка (ARR)</t>
        </is>
      </c>
      <c r="D40" s="17">
        <f>ВыручкаПоследнего*12/ДлинаПериода</f>
        <v/>
      </c>
    </row>
    <row r="41">
      <c r="B41" s="9" t="inlineStr">
        <is>
          <t>Доля привлечения в марже</t>
        </is>
      </c>
      <c r="D41" s="21">
        <f>IF(МаржаВсего=0,0,ПривлечениеВсего/МаржаВсего)</f>
        <v/>
      </c>
    </row>
    <row r="42" ht="26" customHeight="1">
      <c r="B42" s="14" t="inlineStr">
        <is>
          <t>Результат периода отрицателен, пока привлечение обгоняет накопленную маржу базы. Это нормальное состояние растущей подписки, но только если LTV к CAC и срок окупаемости укладываются в ориентиры следующего раздела.</t>
        </is>
      </c>
    </row>
    <row r="44" ht="20" customHeight="1">
      <c r="B44" s="7" t="inlineStr">
        <is>
          <t>Удержание</t>
        </is>
      </c>
    </row>
    <row r="45" ht="3" customHeight="1">
      <c r="B45" s="8" t="n"/>
      <c r="C45" s="8" t="n"/>
      <c r="D45" s="8" t="n"/>
      <c r="E45" s="8" t="n"/>
      <c r="F45" s="8" t="n"/>
      <c r="G45" s="8" t="n"/>
      <c r="H45" s="8" t="n"/>
      <c r="I45" s="8" t="n"/>
      <c r="J45" s="8" t="n"/>
    </row>
    <row r="46">
      <c r="B46" s="9" t="inlineStr">
        <is>
          <t>Retention за период</t>
        </is>
      </c>
      <c r="D46" s="21">
        <f>1-Churn</f>
        <v/>
      </c>
    </row>
    <row r="47">
      <c r="B47" s="9" t="inlineStr">
        <is>
          <t>Churn годовой</t>
        </is>
      </c>
      <c r="D47" s="21">
        <f>1-(1-Churn)^(12/ДлинаПериода)</f>
        <v/>
      </c>
    </row>
    <row r="48">
      <c r="B48" s="9" t="inlineStr">
        <is>
          <t>Retention годовой</t>
        </is>
      </c>
      <c r="D48" s="21">
        <f>1-ChurnГодовой</f>
        <v/>
      </c>
    </row>
    <row r="49">
      <c r="B49" s="9" t="inlineStr">
        <is>
          <t>GRR — удержание выручки без расширения</t>
        </is>
      </c>
      <c r="D49" s="21">
        <f>Retention</f>
        <v/>
      </c>
    </row>
    <row r="50">
      <c r="B50" s="9" t="inlineStr">
        <is>
          <t>NRR — удержание выручки с расширением</t>
        </is>
      </c>
      <c r="D50" s="21">
        <f>Retention*(1+Расширение)</f>
        <v/>
      </c>
    </row>
    <row r="51" ht="26" customHeight="1">
      <c r="B51" s="14" t="inlineStr">
        <is>
          <t>NRR выше ста процентов означает, что оставшиеся клиенты приносят больше ушедших: база растёт в деньгах даже без единого нового клиента. Это главный признак здоровой подписки.</t>
        </is>
      </c>
    </row>
    <row r="53" ht="20" customHeight="1">
      <c r="B53" s="7" t="inlineStr">
        <is>
          <t>Экономика клиента</t>
        </is>
      </c>
    </row>
    <row r="54" ht="3" customHeight="1">
      <c r="B54" s="8" t="n"/>
      <c r="C54" s="8" t="n"/>
      <c r="D54" s="8" t="n"/>
      <c r="E54" s="8" t="n"/>
      <c r="F54" s="8" t="n"/>
      <c r="G54" s="8" t="n"/>
      <c r="H54" s="8" t="n"/>
      <c r="I54" s="8" t="n"/>
      <c r="J54" s="8" t="n"/>
    </row>
    <row r="55">
      <c r="B55" s="9" t="inlineStr">
        <is>
          <t>LT — срок жизни клиента, периодов</t>
        </is>
      </c>
      <c r="D55" s="19">
        <f>IF(Churn=0,0,1/Churn)</f>
        <v/>
      </c>
    </row>
    <row r="56">
      <c r="B56" s="9" t="inlineStr">
        <is>
          <t>LT, месяцев</t>
        </is>
      </c>
      <c r="D56" s="19">
        <f>LtПериодов*ДлинаПериода</f>
        <v/>
      </c>
    </row>
    <row r="57">
      <c r="B57" s="9" t="inlineStr">
        <is>
          <t>LT, лет</t>
        </is>
      </c>
      <c r="D57" s="19">
        <f>LtМесяцев/12</f>
        <v/>
      </c>
    </row>
    <row r="58">
      <c r="B58" s="9" t="inlineStr">
        <is>
          <t>ARPU в месяц</t>
        </is>
      </c>
      <c r="D58" s="17">
        <f>Arpu/ДлинаПериода</f>
        <v/>
      </c>
    </row>
    <row r="59">
      <c r="B59" s="9" t="inlineStr">
        <is>
          <t>Маржа с клиента за период</t>
        </is>
      </c>
      <c r="D59" s="17">
        <f>Arpu*Маржинальность</f>
        <v/>
      </c>
    </row>
    <row r="60">
      <c r="B60" s="9" t="inlineStr">
        <is>
          <t>LTR — выручка за всю жизнь клиента</t>
        </is>
      </c>
      <c r="D60" s="17">
        <f>Arpu*LtПериодов</f>
        <v/>
      </c>
    </row>
    <row r="61">
      <c r="B61" s="9" t="inlineStr">
        <is>
          <t>LTV — маржа за всю жизнь клиента</t>
        </is>
      </c>
      <c r="D61" s="17">
        <f>Ltr*Маржинальность</f>
        <v/>
      </c>
    </row>
    <row r="62">
      <c r="B62" s="9" t="inlineStr">
        <is>
          <t>LTV к CAC</t>
        </is>
      </c>
      <c r="D62" s="22">
        <f>IF(Cac=0,0,Ltv/Cac)</f>
        <v/>
      </c>
    </row>
    <row r="63">
      <c r="B63" s="9" t="inlineStr">
        <is>
          <t>Цель по LTV к CAC достигнута</t>
        </is>
      </c>
      <c r="D63" s="17">
        <f>IF(LtvCac&gt;=ЦельLtvCac,1,0)</f>
        <v/>
      </c>
    </row>
    <row r="64">
      <c r="B64" s="9" t="inlineStr">
        <is>
          <t>Payback — окупаемость привлечения, периодов</t>
        </is>
      </c>
      <c r="D64" s="19">
        <f>IF(МаржаКлиента=0,0,Cac/МаржаКлиента)</f>
        <v/>
      </c>
    </row>
    <row r="65">
      <c r="B65" s="9" t="inlineStr">
        <is>
          <t>Payback, месяцев</t>
        </is>
      </c>
      <c r="D65" s="19">
        <f>PaybackПериодов*ДлинаПериода</f>
        <v/>
      </c>
    </row>
    <row r="66">
      <c r="B66" s="9" t="inlineStr">
        <is>
          <t>Прибыль с одного клиента за жизнь</t>
        </is>
      </c>
      <c r="D66" s="17">
        <f>Ltv-Cac</f>
        <v/>
      </c>
    </row>
    <row r="67" ht="26" customHeight="1">
      <c r="B67" s="14" t="inlineStr">
        <is>
          <t>Ориентиры зрелой подписки: LTV к CAC не ниже трёх и окупаемость быстрее двенадцати месяцев. При отношении ниже двух каждый новый клиент ускоряет расход денег, а не приближает прибыль.</t>
        </is>
      </c>
    </row>
    <row r="69" ht="20" customHeight="1">
      <c r="B69" s="7" t="inlineStr">
        <is>
          <t>LTV с учётом стоимости денег</t>
        </is>
      </c>
    </row>
    <row r="70" ht="3" customHeight="1">
      <c r="B70" s="8" t="n"/>
      <c r="C70" s="8" t="n"/>
      <c r="D70" s="8" t="n"/>
      <c r="E70" s="8" t="n"/>
      <c r="F70" s="8" t="n"/>
      <c r="G70" s="8" t="n"/>
      <c r="H70" s="8" t="n"/>
      <c r="I70" s="8" t="n"/>
      <c r="J70" s="8" t="n"/>
    </row>
    <row r="71">
      <c r="B71" s="9" t="inlineStr">
        <is>
          <t>Ставка дисконтирования за период</t>
        </is>
      </c>
      <c r="D71" s="21">
        <f>(1+СтавкаГод)^(ДлинаПериода/12)-1</f>
        <v/>
      </c>
    </row>
    <row r="72">
      <c r="B72" s="9" t="inlineStr">
        <is>
          <t>LTV дисконтированный</t>
        </is>
      </c>
      <c r="D72" s="17">
        <f>IF(1+СтавкаПериод-Retention&lt;=0,0,МаржаКлиента*Retention/(1+СтавкаПериод-Retention))</f>
        <v/>
      </c>
    </row>
    <row r="73">
      <c r="B73" s="9" t="inlineStr">
        <is>
          <t>LTV дисконтированный к CAC</t>
        </is>
      </c>
      <c r="D73" s="22">
        <f>IF(Cac=0,0,LtvДисконт/Cac)</f>
        <v/>
      </c>
    </row>
    <row r="74">
      <c r="B74" s="9" t="inlineStr">
        <is>
          <t>Насколько дисконт съедает ценность клиента</t>
        </is>
      </c>
      <c r="D74" s="21">
        <f>IF(Ltv=0,0,1-LtvДисконт/Ltv)</f>
        <v/>
      </c>
    </row>
    <row r="75" ht="26" customHeight="1">
      <c r="B75" s="14" t="inlineStr">
        <is>
          <t>Деньги клиента приходят растянуто на весь срок жизни, а CAC платится сразу. Чем длиннее LT, тем сильнее дисконт срезает ценность: при высокой ставке долгий клиент стоит заметно меньше, чем показывает простая формула.</t>
        </is>
      </c>
    </row>
    <row r="77" ht="20" customHeight="1">
      <c r="B77" s="7" t="inlineStr">
        <is>
          <t>Предел роста базы</t>
        </is>
      </c>
    </row>
    <row r="78" ht="3" customHeight="1">
      <c r="B78" s="8" t="n"/>
      <c r="C78" s="8" t="n"/>
      <c r="D78" s="8" t="n"/>
      <c r="E78" s="8" t="n"/>
      <c r="F78" s="8" t="n"/>
      <c r="G78" s="8" t="n"/>
      <c r="H78" s="8" t="n"/>
      <c r="I78" s="8" t="n"/>
      <c r="J78" s="8" t="n"/>
    </row>
    <row r="79">
      <c r="B79" s="9" t="inlineStr">
        <is>
          <t>Равновесная база при нынешних условиях</t>
        </is>
      </c>
      <c r="D79" s="19">
        <f>IF(Churn=0,0,НовыхЗаПериод/Churn)</f>
        <v/>
      </c>
    </row>
    <row r="80">
      <c r="B80" s="9" t="inlineStr">
        <is>
          <t>Выручка на полке</t>
        </is>
      </c>
      <c r="D80" s="17">
        <f>РавновеснаяБаза*Arpu</f>
        <v/>
      </c>
    </row>
    <row r="81">
      <c r="B81" s="9" t="inlineStr">
        <is>
          <t>Насколько текущая база близка к пределу</t>
        </is>
      </c>
      <c r="D81" s="21">
        <f>IF(РавновеснаяБаза=0,0,БазаКонец/РавновеснаяБаза)</f>
        <v/>
      </c>
    </row>
    <row r="82" ht="26" customHeight="1">
      <c r="B82" s="14" t="inlineStr">
        <is>
          <t>Равновесная база — потолок, а не цель. Пока приток и Churn не изменятся, база подойдёт к этой отметке и остановится, сколько бы усилий ни прикладывали продавцы.</t>
        </is>
      </c>
    </row>
    <row r="84" ht="20" customHeight="1">
      <c r="B84" s="7" t="inlineStr">
        <is>
          <t>Что даст работа с удержанием</t>
        </is>
      </c>
    </row>
    <row r="85" ht="3" customHeight="1">
      <c r="B85" s="8" t="n"/>
      <c r="C85" s="8" t="n"/>
      <c r="D85" s="8" t="n"/>
      <c r="E85" s="8" t="n"/>
      <c r="F85" s="8" t="n"/>
      <c r="G85" s="8" t="n"/>
      <c r="H85" s="8" t="n"/>
      <c r="I85" s="8" t="n"/>
      <c r="J85" s="8" t="n"/>
    </row>
    <row r="86">
      <c r="B86" s="9" t="inlineStr">
        <is>
          <t>Новый Churn после работы с удержанием</t>
        </is>
      </c>
      <c r="C86" s="10" t="inlineStr">
        <is>
          <t>%</t>
        </is>
      </c>
      <c r="D86" s="12" t="n">
        <v>0.03</v>
      </c>
    </row>
    <row r="87">
      <c r="B87" s="9" t="inlineStr">
        <is>
          <t>Новый LT, периодов</t>
        </is>
      </c>
      <c r="D87" s="19">
        <f>IF(ChurnНовый=0,0,1/ChurnНовый)</f>
        <v/>
      </c>
    </row>
    <row r="88">
      <c r="B88" s="9" t="inlineStr">
        <is>
          <t>Новый LTV</t>
        </is>
      </c>
      <c r="D88" s="17">
        <f>Arpu*LtНовый*Маржинальность</f>
        <v/>
      </c>
    </row>
    <row r="89">
      <c r="B89" s="9" t="inlineStr">
        <is>
          <t>Новое отношение LTV к CAC</t>
        </is>
      </c>
      <c r="D89" s="22">
        <f>IF(Cac=0,0,LtvНовый/Cac)</f>
        <v/>
      </c>
    </row>
    <row r="90">
      <c r="B90" s="9" t="inlineStr">
        <is>
          <t>Во сколько раз выросла ценность клиента</t>
        </is>
      </c>
      <c r="D90" s="22">
        <f>IF(Ltv=0,0,LtvНовый/Ltv)</f>
        <v/>
      </c>
    </row>
    <row r="91">
      <c r="B91" s="9" t="inlineStr">
        <is>
          <t>Новая равновесная база</t>
        </is>
      </c>
      <c r="D91" s="19">
        <f>IF(ChurnНовый=0,0,НовыхЗаПериод/ChurnНовый)</f>
        <v/>
      </c>
    </row>
    <row r="92">
      <c r="B92" s="9" t="inlineStr">
        <is>
          <t>Прирост потолка базы</t>
        </is>
      </c>
      <c r="D92" s="19">
        <f>РавновеснаяНовая-РавновеснаяБаза</f>
        <v/>
      </c>
    </row>
    <row r="93" ht="26" customHeight="1">
      <c r="B93" s="14" t="inlineStr">
        <is>
          <t>Снижение Churn с пяти процентов до трёх поднимает и LT, и LTV, и потолок базы примерно в полтора раза — без единого рубля в рекламу. Такой отдачи от привлечения добиться нельзя.</t>
        </is>
      </c>
    </row>
    <row r="95">
      <c r="B95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7">
    <mergeCell ref="B51:J51"/>
    <mergeCell ref="B67:J67"/>
    <mergeCell ref="B42:J42"/>
    <mergeCell ref="B82:J82"/>
    <mergeCell ref="B93:J93"/>
    <mergeCell ref="B75:J75"/>
    <mergeCell ref="B21:J21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2026-09-09T14:08:46Z</dcterms:created>
  <dcterms:modified xmlns:dcterms="http://purl.org/dc/terms/" xmlns:xsi="http://www.w3.org/2001/XMLSchema-instance" xsi:type="dcterms:W3CDTF">2026-09-09T14:08:46Z</dcterms:modified>
</cp:coreProperties>
</file>